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dusan\Desktop\Izvršenje financijskog plana\Izvršenje financijskog plana 2025\"/>
    </mc:Choice>
  </mc:AlternateContent>
  <xr:revisionPtr revIDLastSave="0" documentId="13_ncr:1_{86906060-49F0-40DA-818B-45447F47B0BB}" xr6:coauthVersionLast="47" xr6:coauthVersionMax="47" xr10:uidLastSave="{00000000-0000-0000-0000-000000000000}"/>
  <bookViews>
    <workbookView xWindow="-120" yWindow="-120" windowWidth="29040" windowHeight="15840" tabRatio="660" xr2:uid="{00000000-000D-0000-FFFF-FFFF00000000}"/>
  </bookViews>
  <sheets>
    <sheet name="SAŽETAK" sheetId="3" r:id="rId1"/>
    <sheet name="Prihodi po ekonomskoj klas" sheetId="2" r:id="rId2"/>
    <sheet name="RASHODI-ek.kl." sheetId="4" r:id="rId3"/>
    <sheet name="Prihodi po ek klas i izvorima" sheetId="1" r:id="rId4"/>
    <sheet name=" PRIHODI I RASHODI-izvori" sheetId="5" r:id="rId5"/>
    <sheet name="RASHODI-funkcijska" sheetId="8" r:id="rId6"/>
    <sheet name="Rekapitulacija Posebni dio" sheetId="6" r:id="rId7"/>
    <sheet name="Kontrolna tablica" sheetId="11" r:id="rId8"/>
    <sheet name="RAČUN FINANCIRANJA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1" i="4" l="1"/>
  <c r="F141" i="4"/>
  <c r="G141" i="4"/>
  <c r="D141" i="4"/>
  <c r="E60" i="5"/>
  <c r="F60" i="5"/>
  <c r="G60" i="5"/>
  <c r="H60" i="5"/>
  <c r="F63" i="5"/>
  <c r="G63" i="5"/>
  <c r="H63" i="5"/>
  <c r="E63" i="5"/>
  <c r="F61" i="5"/>
  <c r="G61" i="5"/>
  <c r="H61" i="5"/>
  <c r="E61" i="5"/>
  <c r="F91" i="6"/>
  <c r="F94" i="6"/>
  <c r="K12" i="3"/>
  <c r="K10" i="3"/>
  <c r="K11" i="3"/>
  <c r="L10" i="3"/>
  <c r="L11" i="3"/>
  <c r="L12" i="3"/>
  <c r="G18" i="8"/>
  <c r="F18" i="8"/>
  <c r="G17" i="8"/>
  <c r="F17" i="8"/>
  <c r="G16" i="8"/>
  <c r="F16" i="8"/>
  <c r="H13" i="6"/>
  <c r="H14" i="6"/>
  <c r="H23" i="6"/>
  <c r="H24" i="6"/>
  <c r="H31" i="6"/>
  <c r="H44" i="6"/>
  <c r="H50" i="6"/>
  <c r="H53" i="6"/>
  <c r="H54" i="6"/>
  <c r="H87" i="6"/>
  <c r="H93" i="6"/>
  <c r="H103" i="6"/>
  <c r="H122" i="6"/>
  <c r="H133" i="6"/>
  <c r="H137" i="6"/>
  <c r="H143" i="6"/>
  <c r="H147" i="6"/>
  <c r="H151" i="6"/>
  <c r="H153" i="6"/>
  <c r="H154" i="6"/>
  <c r="H156" i="6"/>
  <c r="H157" i="6"/>
  <c r="H160" i="6"/>
  <c r="H162" i="6"/>
  <c r="H167" i="6"/>
  <c r="H169" i="6"/>
  <c r="H175" i="6"/>
  <c r="H176" i="6"/>
  <c r="H179" i="6"/>
  <c r="H182" i="6"/>
  <c r="H189" i="6"/>
  <c r="H191" i="6"/>
  <c r="H197" i="6"/>
  <c r="H203" i="6"/>
  <c r="H204" i="6"/>
  <c r="H205" i="6"/>
  <c r="H207" i="6"/>
  <c r="H210" i="6"/>
  <c r="H213" i="6"/>
  <c r="H217" i="6"/>
  <c r="H219" i="6"/>
  <c r="H221" i="6"/>
  <c r="H222" i="6"/>
  <c r="H225" i="6"/>
  <c r="H227" i="6"/>
  <c r="H228" i="6"/>
  <c r="H230" i="6"/>
  <c r="H231" i="6"/>
  <c r="H232" i="6"/>
  <c r="H233" i="6"/>
  <c r="H234" i="6"/>
  <c r="H236" i="6"/>
  <c r="H238" i="6"/>
  <c r="H239" i="6"/>
  <c r="H240" i="6"/>
  <c r="H241" i="6"/>
  <c r="H242" i="6"/>
  <c r="H243" i="6"/>
  <c r="H245" i="6"/>
  <c r="H247" i="6"/>
  <c r="H248" i="6"/>
  <c r="H250" i="6"/>
  <c r="H253" i="6"/>
  <c r="H254" i="6"/>
  <c r="H257" i="6"/>
  <c r="H258" i="6"/>
  <c r="H259" i="6"/>
  <c r="H260" i="6"/>
  <c r="H261" i="6"/>
  <c r="H262" i="6"/>
  <c r="H265" i="6"/>
  <c r="H266" i="6"/>
  <c r="H267" i="6"/>
  <c r="H268" i="6"/>
  <c r="H271" i="6"/>
  <c r="H274" i="6"/>
  <c r="H276" i="6"/>
  <c r="H277" i="6"/>
  <c r="H279" i="6"/>
  <c r="H283" i="6"/>
  <c r="H286" i="6"/>
  <c r="H288" i="6"/>
  <c r="H289" i="6"/>
  <c r="H290" i="6"/>
  <c r="H291" i="6"/>
  <c r="H292" i="6"/>
  <c r="H293" i="6"/>
  <c r="H295" i="6"/>
  <c r="H297" i="6"/>
  <c r="H303" i="6"/>
  <c r="H304" i="6"/>
  <c r="H305" i="6"/>
  <c r="H307" i="6"/>
  <c r="H310" i="6"/>
  <c r="H314" i="6"/>
  <c r="H315" i="6"/>
  <c r="H317" i="6"/>
  <c r="H319" i="6"/>
  <c r="H320" i="6"/>
  <c r="H321" i="6"/>
  <c r="H324" i="6"/>
  <c r="H326" i="6"/>
  <c r="H328" i="6"/>
  <c r="H330" i="6"/>
  <c r="H331" i="6"/>
  <c r="H334" i="6"/>
  <c r="H335" i="6"/>
  <c r="H338" i="6"/>
  <c r="H340" i="6"/>
  <c r="H342" i="6"/>
  <c r="H345" i="6"/>
  <c r="H349" i="6"/>
  <c r="H350" i="6"/>
  <c r="H352" i="6"/>
  <c r="H353" i="6"/>
  <c r="H354" i="6"/>
  <c r="H355" i="6"/>
  <c r="H356" i="6"/>
  <c r="H357" i="6"/>
  <c r="H358" i="6"/>
  <c r="H359" i="6"/>
  <c r="H360" i="6"/>
  <c r="H366" i="6"/>
  <c r="H367" i="6"/>
  <c r="H368" i="6"/>
  <c r="H370" i="6"/>
  <c r="H374" i="6"/>
  <c r="H375" i="6"/>
  <c r="H376" i="6"/>
  <c r="H381" i="6"/>
  <c r="H382" i="6"/>
  <c r="H384" i="6"/>
  <c r="H387" i="6"/>
  <c r="H391" i="6"/>
  <c r="H393" i="6"/>
  <c r="H394" i="6"/>
  <c r="H396" i="6"/>
  <c r="H402" i="6"/>
  <c r="H408" i="6"/>
  <c r="H409" i="6"/>
  <c r="H411" i="6"/>
  <c r="H413" i="6"/>
  <c r="H414" i="6"/>
  <c r="H415" i="6"/>
  <c r="H418" i="6"/>
  <c r="H420" i="6"/>
  <c r="H422" i="6"/>
  <c r="H424" i="6"/>
  <c r="H425" i="6"/>
  <c r="H428" i="6"/>
  <c r="H429" i="6"/>
  <c r="H432" i="6"/>
  <c r="H434" i="6"/>
  <c r="H436" i="6"/>
  <c r="H442" i="6"/>
  <c r="H448" i="6"/>
  <c r="H451" i="6"/>
  <c r="H452" i="6"/>
  <c r="H453" i="6"/>
  <c r="H455" i="6"/>
  <c r="H456" i="6"/>
  <c r="H457" i="6"/>
  <c r="H458" i="6"/>
  <c r="H460" i="6"/>
  <c r="H461" i="6"/>
  <c r="H463" i="6"/>
  <c r="H465" i="6"/>
  <c r="H468" i="6"/>
  <c r="H470" i="6"/>
  <c r="H472" i="6"/>
  <c r="H473" i="6"/>
  <c r="H475" i="6"/>
  <c r="H477" i="6"/>
  <c r="H478" i="6"/>
  <c r="H481" i="6"/>
  <c r="H482" i="6"/>
  <c r="H485" i="6"/>
  <c r="H486" i="6"/>
  <c r="H488" i="6"/>
  <c r="H490" i="6"/>
  <c r="H496" i="6"/>
  <c r="H497" i="6"/>
  <c r="H503" i="6"/>
  <c r="H504" i="6"/>
  <c r="H506" i="6"/>
  <c r="H508" i="6"/>
  <c r="H509" i="6"/>
  <c r="H512" i="6"/>
  <c r="H513" i="6"/>
  <c r="H514" i="6"/>
  <c r="H517" i="6"/>
  <c r="H520" i="6"/>
  <c r="H521" i="6"/>
  <c r="H522" i="6"/>
  <c r="H523" i="6"/>
  <c r="H524" i="6"/>
  <c r="H526" i="6"/>
  <c r="H531" i="6"/>
  <c r="H532" i="6"/>
  <c r="H534" i="6"/>
  <c r="H536" i="6"/>
  <c r="H538" i="6"/>
  <c r="H542" i="6"/>
  <c r="H549" i="6"/>
  <c r="H551" i="6"/>
  <c r="H554" i="6"/>
  <c r="H557" i="6"/>
  <c r="H559" i="6"/>
  <c r="H561" i="6"/>
  <c r="H568" i="6"/>
  <c r="H570" i="6"/>
  <c r="H573" i="6"/>
  <c r="H576" i="6"/>
  <c r="H578" i="6"/>
  <c r="H580" i="6"/>
  <c r="H583" i="6"/>
  <c r="H590" i="6"/>
  <c r="H592" i="6"/>
  <c r="H595" i="6"/>
  <c r="H599" i="6"/>
  <c r="H600" i="6"/>
  <c r="H603" i="6"/>
  <c r="H604" i="6"/>
  <c r="H606" i="6"/>
  <c r="H608" i="6"/>
  <c r="H615" i="6"/>
  <c r="H618" i="6"/>
  <c r="H619" i="6"/>
  <c r="H622" i="6"/>
  <c r="H626" i="6"/>
  <c r="H628" i="6"/>
  <c r="H630" i="6"/>
  <c r="H632" i="6"/>
  <c r="H635" i="6"/>
  <c r="H637" i="6"/>
  <c r="H644" i="6"/>
  <c r="H647" i="6"/>
  <c r="H648" i="6"/>
  <c r="H651" i="6"/>
  <c r="H655" i="6"/>
  <c r="H656" i="6"/>
  <c r="H657" i="6"/>
  <c r="H659" i="6"/>
  <c r="H661" i="6"/>
  <c r="H663" i="6"/>
  <c r="H666" i="6"/>
  <c r="H668" i="6"/>
  <c r="H674" i="6"/>
  <c r="H675" i="6"/>
  <c r="H677" i="6"/>
  <c r="H679" i="6"/>
  <c r="H681" i="6"/>
  <c r="H683" i="6"/>
  <c r="H686" i="6"/>
  <c r="H692" i="6"/>
  <c r="H694" i="6"/>
  <c r="H696" i="6"/>
  <c r="H698" i="6"/>
  <c r="H700" i="6"/>
  <c r="H702" i="6"/>
  <c r="H703" i="6"/>
  <c r="H705" i="6"/>
  <c r="H708" i="6"/>
  <c r="H713" i="6"/>
  <c r="H715" i="6"/>
  <c r="H717" i="6"/>
  <c r="H724" i="6"/>
  <c r="H725" i="6"/>
  <c r="H727" i="6"/>
  <c r="H731" i="6"/>
  <c r="H732" i="6"/>
  <c r="H733" i="6"/>
  <c r="H735" i="6"/>
  <c r="H737" i="6"/>
  <c r="H740" i="6"/>
  <c r="H741" i="6"/>
  <c r="H742" i="6"/>
  <c r="H744" i="6"/>
  <c r="H745" i="6"/>
  <c r="H746" i="6"/>
  <c r="H749" i="6"/>
  <c r="H751" i="6"/>
  <c r="H752" i="6"/>
  <c r="H753" i="6"/>
  <c r="H755" i="6"/>
  <c r="H757" i="6"/>
  <c r="H760" i="6"/>
  <c r="H763" i="6"/>
  <c r="H770" i="6"/>
  <c r="H772" i="6"/>
  <c r="H777" i="6"/>
  <c r="H779" i="6"/>
  <c r="H786" i="6"/>
  <c r="H789" i="6"/>
  <c r="H794" i="6"/>
  <c r="G13" i="6"/>
  <c r="G14" i="6"/>
  <c r="G23" i="6"/>
  <c r="G24" i="6"/>
  <c r="G31" i="6"/>
  <c r="G44" i="6"/>
  <c r="G50" i="6"/>
  <c r="G53" i="6"/>
  <c r="G54" i="6"/>
  <c r="G87" i="6"/>
  <c r="G93" i="6"/>
  <c r="G103" i="6"/>
  <c r="G122" i="6"/>
  <c r="G133" i="6"/>
  <c r="G137" i="6"/>
  <c r="G143" i="6"/>
  <c r="G147" i="6"/>
  <c r="G151" i="6"/>
  <c r="G153" i="6"/>
  <c r="G154" i="6"/>
  <c r="G156" i="6"/>
  <c r="G157" i="6"/>
  <c r="G160" i="6"/>
  <c r="G162" i="6"/>
  <c r="G167" i="6"/>
  <c r="G169" i="6"/>
  <c r="G175" i="6"/>
  <c r="G176" i="6"/>
  <c r="G179" i="6"/>
  <c r="G182" i="6"/>
  <c r="G189" i="6"/>
  <c r="G191" i="6"/>
  <c r="G197" i="6"/>
  <c r="G203" i="6"/>
  <c r="G204" i="6"/>
  <c r="G205" i="6"/>
  <c r="G207" i="6"/>
  <c r="G210" i="6"/>
  <c r="G213" i="6"/>
  <c r="G217" i="6"/>
  <c r="G219" i="6"/>
  <c r="G221" i="6"/>
  <c r="G222" i="6"/>
  <c r="G225" i="6"/>
  <c r="G227" i="6"/>
  <c r="G230" i="6"/>
  <c r="G232" i="6"/>
  <c r="G233" i="6"/>
  <c r="G234" i="6"/>
  <c r="G236" i="6"/>
  <c r="G238" i="6"/>
  <c r="G239" i="6"/>
  <c r="G241" i="6"/>
  <c r="G242" i="6"/>
  <c r="G243" i="6"/>
  <c r="G245" i="6"/>
  <c r="G247" i="6"/>
  <c r="G248" i="6"/>
  <c r="G250" i="6"/>
  <c r="G253" i="6"/>
  <c r="G254" i="6"/>
  <c r="G257" i="6"/>
  <c r="G258" i="6"/>
  <c r="G259" i="6"/>
  <c r="G260" i="6"/>
  <c r="G261" i="6"/>
  <c r="G262" i="6"/>
  <c r="G265" i="6"/>
  <c r="G266" i="6"/>
  <c r="G267" i="6"/>
  <c r="G268" i="6"/>
  <c r="G271" i="6"/>
  <c r="G274" i="6"/>
  <c r="G276" i="6"/>
  <c r="G277" i="6"/>
  <c r="G279" i="6"/>
  <c r="G283" i="6"/>
  <c r="G286" i="6"/>
  <c r="G288" i="6"/>
  <c r="G289" i="6"/>
  <c r="G290" i="6"/>
  <c r="G291" i="6"/>
  <c r="G292" i="6"/>
  <c r="G293" i="6"/>
  <c r="G295" i="6"/>
  <c r="G297" i="6"/>
  <c r="G303" i="6"/>
  <c r="G304" i="6"/>
  <c r="G305" i="6"/>
  <c r="G307" i="6"/>
  <c r="G310" i="6"/>
  <c r="G314" i="6"/>
  <c r="G315" i="6"/>
  <c r="G317" i="6"/>
  <c r="G319" i="6"/>
  <c r="G320" i="6"/>
  <c r="G321" i="6"/>
  <c r="G324" i="6"/>
  <c r="G326" i="6"/>
  <c r="G328" i="6"/>
  <c r="G330" i="6"/>
  <c r="G331" i="6"/>
  <c r="G334" i="6"/>
  <c r="G335" i="6"/>
  <c r="G338" i="6"/>
  <c r="G340" i="6"/>
  <c r="G342" i="6"/>
  <c r="G345" i="6"/>
  <c r="G349" i="6"/>
  <c r="G350" i="6"/>
  <c r="G352" i="6"/>
  <c r="G353" i="6"/>
  <c r="G354" i="6"/>
  <c r="G355" i="6"/>
  <c r="G356" i="6"/>
  <c r="G357" i="6"/>
  <c r="G358" i="6"/>
  <c r="G359" i="6"/>
  <c r="G360" i="6"/>
  <c r="G366" i="6"/>
  <c r="G367" i="6"/>
  <c r="G368" i="6"/>
  <c r="G370" i="6"/>
  <c r="G374" i="6"/>
  <c r="G375" i="6"/>
  <c r="G376" i="6"/>
  <c r="G381" i="6"/>
  <c r="G382" i="6"/>
  <c r="G384" i="6"/>
  <c r="G387" i="6"/>
  <c r="G391" i="6"/>
  <c r="G393" i="6"/>
  <c r="G394" i="6"/>
  <c r="G396" i="6"/>
  <c r="G402" i="6"/>
  <c r="G408" i="6"/>
  <c r="G409" i="6"/>
  <c r="G411" i="6"/>
  <c r="G413" i="6"/>
  <c r="G414" i="6"/>
  <c r="G415" i="6"/>
  <c r="G418" i="6"/>
  <c r="G420" i="6"/>
  <c r="G422" i="6"/>
  <c r="G424" i="6"/>
  <c r="G425" i="6"/>
  <c r="G428" i="6"/>
  <c r="G429" i="6"/>
  <c r="G432" i="6"/>
  <c r="G434" i="6"/>
  <c r="G436" i="6"/>
  <c r="G442" i="6"/>
  <c r="G448" i="6"/>
  <c r="G451" i="6"/>
  <c r="G452" i="6"/>
  <c r="G453" i="6"/>
  <c r="G455" i="6"/>
  <c r="G456" i="6"/>
  <c r="G457" i="6"/>
  <c r="G458" i="6"/>
  <c r="G460" i="6"/>
  <c r="G461" i="6"/>
  <c r="G463" i="6"/>
  <c r="G465" i="6"/>
  <c r="G468" i="6"/>
  <c r="G470" i="6"/>
  <c r="G472" i="6"/>
  <c r="G473" i="6"/>
  <c r="G475" i="6"/>
  <c r="G477" i="6"/>
  <c r="G478" i="6"/>
  <c r="G481" i="6"/>
  <c r="G482" i="6"/>
  <c r="G485" i="6"/>
  <c r="G486" i="6"/>
  <c r="G488" i="6"/>
  <c r="G490" i="6"/>
  <c r="G496" i="6"/>
  <c r="G497" i="6"/>
  <c r="G503" i="6"/>
  <c r="G504" i="6"/>
  <c r="G506" i="6"/>
  <c r="G508" i="6"/>
  <c r="G509" i="6"/>
  <c r="G512" i="6"/>
  <c r="G513" i="6"/>
  <c r="G514" i="6"/>
  <c r="G517" i="6"/>
  <c r="G520" i="6"/>
  <c r="G521" i="6"/>
  <c r="G522" i="6"/>
  <c r="G523" i="6"/>
  <c r="G524" i="6"/>
  <c r="G526" i="6"/>
  <c r="G531" i="6"/>
  <c r="G532" i="6"/>
  <c r="G534" i="6"/>
  <c r="G536" i="6"/>
  <c r="G538" i="6"/>
  <c r="G542" i="6"/>
  <c r="G549" i="6"/>
  <c r="G551" i="6"/>
  <c r="G554" i="6"/>
  <c r="G557" i="6"/>
  <c r="G559" i="6"/>
  <c r="G561" i="6"/>
  <c r="G568" i="6"/>
  <c r="G570" i="6"/>
  <c r="G573" i="6"/>
  <c r="G576" i="6"/>
  <c r="G578" i="6"/>
  <c r="G580" i="6"/>
  <c r="G583" i="6"/>
  <c r="G590" i="6"/>
  <c r="G592" i="6"/>
  <c r="G595" i="6"/>
  <c r="G599" i="6"/>
  <c r="G600" i="6"/>
  <c r="G603" i="6"/>
  <c r="G604" i="6"/>
  <c r="G606" i="6"/>
  <c r="G608" i="6"/>
  <c r="G615" i="6"/>
  <c r="G618" i="6"/>
  <c r="G619" i="6"/>
  <c r="G622" i="6"/>
  <c r="G626" i="6"/>
  <c r="G628" i="6"/>
  <c r="G630" i="6"/>
  <c r="G632" i="6"/>
  <c r="G635" i="6"/>
  <c r="G637" i="6"/>
  <c r="G644" i="6"/>
  <c r="G647" i="6"/>
  <c r="G648" i="6"/>
  <c r="G651" i="6"/>
  <c r="G655" i="6"/>
  <c r="G656" i="6"/>
  <c r="G657" i="6"/>
  <c r="G659" i="6"/>
  <c r="G661" i="6"/>
  <c r="G663" i="6"/>
  <c r="G666" i="6"/>
  <c r="G668" i="6"/>
  <c r="G674" i="6"/>
  <c r="G675" i="6"/>
  <c r="G677" i="6"/>
  <c r="G679" i="6"/>
  <c r="G681" i="6"/>
  <c r="G683" i="6"/>
  <c r="G686" i="6"/>
  <c r="G692" i="6"/>
  <c r="G694" i="6"/>
  <c r="G696" i="6"/>
  <c r="G698" i="6"/>
  <c r="G700" i="6"/>
  <c r="G702" i="6"/>
  <c r="G703" i="6"/>
  <c r="G705" i="6"/>
  <c r="G708" i="6"/>
  <c r="G713" i="6"/>
  <c r="G715" i="6"/>
  <c r="G717" i="6"/>
  <c r="G724" i="6"/>
  <c r="G725" i="6"/>
  <c r="G727" i="6"/>
  <c r="G731" i="6"/>
  <c r="G732" i="6"/>
  <c r="G733" i="6"/>
  <c r="G735" i="6"/>
  <c r="G737" i="6"/>
  <c r="G740" i="6"/>
  <c r="G741" i="6"/>
  <c r="G742" i="6"/>
  <c r="G744" i="6"/>
  <c r="G745" i="6"/>
  <c r="G746" i="6"/>
  <c r="G749" i="6"/>
  <c r="G751" i="6"/>
  <c r="G752" i="6"/>
  <c r="G753" i="6"/>
  <c r="G755" i="6"/>
  <c r="G757" i="6"/>
  <c r="G760" i="6"/>
  <c r="G763" i="6"/>
  <c r="G770" i="6"/>
  <c r="G772" i="6"/>
  <c r="G777" i="6"/>
  <c r="G779" i="6"/>
  <c r="G786" i="6"/>
  <c r="G789" i="6"/>
  <c r="G794" i="6"/>
  <c r="J10" i="5"/>
  <c r="J78" i="5"/>
  <c r="J106" i="5"/>
  <c r="J234" i="5"/>
  <c r="J235" i="5"/>
  <c r="J243" i="5"/>
  <c r="J245" i="5"/>
  <c r="J246" i="5"/>
  <c r="J249" i="5"/>
  <c r="J258" i="5"/>
  <c r="J260" i="5"/>
  <c r="J267" i="5"/>
  <c r="J282" i="5"/>
  <c r="J288" i="5"/>
  <c r="J295" i="5"/>
  <c r="J296" i="5"/>
  <c r="J313" i="5"/>
  <c r="J328" i="5"/>
  <c r="J330" i="5"/>
  <c r="J335" i="5"/>
  <c r="J336" i="5"/>
  <c r="J337" i="5"/>
  <c r="J342" i="5"/>
  <c r="J350" i="5"/>
  <c r="J355" i="5"/>
  <c r="J356" i="5"/>
  <c r="J357" i="5"/>
  <c r="J358" i="5"/>
  <c r="J361" i="5"/>
  <c r="J362" i="5"/>
  <c r="J363" i="5"/>
  <c r="J364" i="5"/>
  <c r="J367" i="5"/>
  <c r="J370" i="5"/>
  <c r="J372" i="5"/>
  <c r="J373" i="5"/>
  <c r="J377" i="5"/>
  <c r="J380" i="5"/>
  <c r="J384" i="5"/>
  <c r="J387" i="5"/>
  <c r="J388" i="5"/>
  <c r="J392" i="5"/>
  <c r="J394" i="5"/>
  <c r="J401" i="5"/>
  <c r="J432" i="5"/>
  <c r="J456" i="5"/>
  <c r="J462" i="5"/>
  <c r="J471" i="5"/>
  <c r="J472" i="5"/>
  <c r="J474" i="5"/>
  <c r="J476" i="5"/>
  <c r="J477" i="5"/>
  <c r="J480" i="5"/>
  <c r="J481" i="5"/>
  <c r="J482" i="5"/>
  <c r="J484" i="5"/>
  <c r="J486" i="5"/>
  <c r="J487" i="5"/>
  <c r="J491" i="5"/>
  <c r="J499" i="5"/>
  <c r="J509" i="5"/>
  <c r="J510" i="5"/>
  <c r="J511" i="5"/>
  <c r="J512" i="5"/>
  <c r="J532" i="5"/>
  <c r="J537" i="5"/>
  <c r="I78" i="5"/>
  <c r="I106" i="5"/>
  <c r="I234" i="5"/>
  <c r="I235" i="5"/>
  <c r="I243" i="5"/>
  <c r="I245" i="5"/>
  <c r="I246" i="5"/>
  <c r="I249" i="5"/>
  <c r="I258" i="5"/>
  <c r="I260" i="5"/>
  <c r="I267" i="5"/>
  <c r="I282" i="5"/>
  <c r="I288" i="5"/>
  <c r="I295" i="5"/>
  <c r="I296" i="5"/>
  <c r="I313" i="5"/>
  <c r="I328" i="5"/>
  <c r="I330" i="5"/>
  <c r="I335" i="5"/>
  <c r="I336" i="5"/>
  <c r="I337" i="5"/>
  <c r="I342" i="5"/>
  <c r="I350" i="5"/>
  <c r="I355" i="5"/>
  <c r="I356" i="5"/>
  <c r="I357" i="5"/>
  <c r="I358" i="5"/>
  <c r="I361" i="5"/>
  <c r="I362" i="5"/>
  <c r="I363" i="5"/>
  <c r="I364" i="5"/>
  <c r="I367" i="5"/>
  <c r="I370" i="5"/>
  <c r="I372" i="5"/>
  <c r="I373" i="5"/>
  <c r="I377" i="5"/>
  <c r="I380" i="5"/>
  <c r="I384" i="5"/>
  <c r="I387" i="5"/>
  <c r="I388" i="5"/>
  <c r="I392" i="5"/>
  <c r="I394" i="5"/>
  <c r="I401" i="5"/>
  <c r="I432" i="5"/>
  <c r="I456" i="5"/>
  <c r="I462" i="5"/>
  <c r="I471" i="5"/>
  <c r="I472" i="5"/>
  <c r="I474" i="5"/>
  <c r="I476" i="5"/>
  <c r="I477" i="5"/>
  <c r="I480" i="5"/>
  <c r="I481" i="5"/>
  <c r="I482" i="5"/>
  <c r="I484" i="5"/>
  <c r="I486" i="5"/>
  <c r="I487" i="5"/>
  <c r="I491" i="5"/>
  <c r="I499" i="5"/>
  <c r="I509" i="5"/>
  <c r="I510" i="5"/>
  <c r="I511" i="5"/>
  <c r="I512" i="5"/>
  <c r="I532" i="5"/>
  <c r="I537" i="5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8" i="1"/>
  <c r="F26" i="6"/>
  <c r="F12" i="6"/>
  <c r="F112" i="6"/>
  <c r="H91" i="6"/>
  <c r="F92" i="6"/>
  <c r="F107" i="6"/>
  <c r="F195" i="6"/>
  <c r="H195" i="6" s="1"/>
  <c r="F186" i="6"/>
  <c r="F184" i="6"/>
  <c r="F181" i="6"/>
  <c r="F178" i="6"/>
  <c r="F174" i="6"/>
  <c r="F173" i="6"/>
  <c r="F132" i="6"/>
  <c r="F128" i="6"/>
  <c r="F125" i="6"/>
  <c r="F123" i="6"/>
  <c r="F214" i="5"/>
  <c r="E172" i="4" s="1"/>
  <c r="G214" i="5"/>
  <c r="F172" i="4" s="1"/>
  <c r="H214" i="5"/>
  <c r="J214" i="5" s="1"/>
  <c r="E214" i="5"/>
  <c r="D172" i="4" s="1"/>
  <c r="F121" i="6"/>
  <c r="F118" i="6"/>
  <c r="F116" i="6"/>
  <c r="F114" i="6"/>
  <c r="F113" i="6"/>
  <c r="F110" i="6"/>
  <c r="F106" i="6"/>
  <c r="F100" i="6"/>
  <c r="F98" i="6"/>
  <c r="F96" i="6"/>
  <c r="F89" i="6"/>
  <c r="F83" i="6"/>
  <c r="F82" i="6"/>
  <c r="F80" i="6"/>
  <c r="F78" i="6"/>
  <c r="F77" i="6"/>
  <c r="F76" i="6"/>
  <c r="F74" i="6"/>
  <c r="F51" i="6"/>
  <c r="F73" i="6"/>
  <c r="F72" i="6"/>
  <c r="F69" i="6"/>
  <c r="F67" i="6"/>
  <c r="F64" i="6"/>
  <c r="F63" i="6"/>
  <c r="F62" i="6"/>
  <c r="F60" i="6"/>
  <c r="F59" i="6"/>
  <c r="F58" i="6"/>
  <c r="F57" i="6"/>
  <c r="F49" i="6"/>
  <c r="F48" i="6"/>
  <c r="F47" i="6"/>
  <c r="F42" i="6"/>
  <c r="F41" i="6"/>
  <c r="F39" i="6"/>
  <c r="F37" i="6"/>
  <c r="F36" i="6"/>
  <c r="F35" i="6"/>
  <c r="F25" i="6"/>
  <c r="F22" i="6"/>
  <c r="F21" i="6"/>
  <c r="F16" i="6"/>
  <c r="F29" i="6"/>
  <c r="F466" i="5"/>
  <c r="G466" i="5"/>
  <c r="G465" i="5" s="1"/>
  <c r="H466" i="5"/>
  <c r="E466" i="5"/>
  <c r="E465" i="5" s="1"/>
  <c r="F443" i="5"/>
  <c r="G443" i="5"/>
  <c r="H443" i="5"/>
  <c r="E443" i="5"/>
  <c r="D778" i="6"/>
  <c r="E778" i="6"/>
  <c r="F778" i="6"/>
  <c r="C778" i="6"/>
  <c r="D769" i="6"/>
  <c r="E769" i="6"/>
  <c r="F769" i="6"/>
  <c r="C769" i="6"/>
  <c r="F80" i="5"/>
  <c r="G80" i="5"/>
  <c r="H80" i="5"/>
  <c r="H79" i="5" s="1"/>
  <c r="E80" i="5"/>
  <c r="F79" i="5"/>
  <c r="G79" i="5"/>
  <c r="E79" i="5"/>
  <c r="F76" i="5"/>
  <c r="G76" i="5"/>
  <c r="H76" i="5"/>
  <c r="E76" i="5"/>
  <c r="F75" i="5"/>
  <c r="G75" i="5"/>
  <c r="H75" i="5"/>
  <c r="E75" i="5"/>
  <c r="D489" i="6"/>
  <c r="F82" i="5" s="1"/>
  <c r="E489" i="6"/>
  <c r="G82" i="5" s="1"/>
  <c r="F489" i="6"/>
  <c r="D487" i="6"/>
  <c r="E487" i="6"/>
  <c r="F487" i="6"/>
  <c r="C489" i="6"/>
  <c r="E82" i="5" s="1"/>
  <c r="C487" i="6"/>
  <c r="D484" i="6"/>
  <c r="E484" i="6"/>
  <c r="F484" i="6"/>
  <c r="C484" i="6"/>
  <c r="D476" i="6"/>
  <c r="E476" i="6"/>
  <c r="F476" i="6"/>
  <c r="C476" i="6"/>
  <c r="F62" i="5"/>
  <c r="G62" i="5"/>
  <c r="H62" i="5"/>
  <c r="I62" i="5" s="1"/>
  <c r="E62" i="5"/>
  <c r="F57" i="5"/>
  <c r="G57" i="5"/>
  <c r="H57" i="5"/>
  <c r="I57" i="5" s="1"/>
  <c r="E57" i="5"/>
  <c r="D471" i="6"/>
  <c r="E471" i="6"/>
  <c r="F471" i="6"/>
  <c r="C471" i="6"/>
  <c r="F56" i="5"/>
  <c r="G56" i="5"/>
  <c r="H56" i="5"/>
  <c r="E56" i="5"/>
  <c r="F53" i="5"/>
  <c r="G53" i="5"/>
  <c r="H53" i="5"/>
  <c r="I53" i="5" s="1"/>
  <c r="E53" i="5"/>
  <c r="D469" i="6"/>
  <c r="E469" i="6"/>
  <c r="F469" i="6"/>
  <c r="C469" i="6"/>
  <c r="H50" i="5"/>
  <c r="G50" i="5"/>
  <c r="F50" i="5"/>
  <c r="E50" i="5"/>
  <c r="D467" i="6"/>
  <c r="E467" i="6"/>
  <c r="F467" i="6"/>
  <c r="C467" i="6"/>
  <c r="F47" i="5"/>
  <c r="F46" i="5" s="1"/>
  <c r="G47" i="5"/>
  <c r="G46" i="5" s="1"/>
  <c r="H47" i="5"/>
  <c r="E47" i="5"/>
  <c r="E46" i="5" s="1"/>
  <c r="D464" i="6"/>
  <c r="E464" i="6"/>
  <c r="F464" i="6"/>
  <c r="C464" i="6"/>
  <c r="F45" i="5"/>
  <c r="G45" i="5"/>
  <c r="G44" i="5" s="1"/>
  <c r="H45" i="5"/>
  <c r="I45" i="5" s="1"/>
  <c r="E45" i="5"/>
  <c r="E44" i="5" s="1"/>
  <c r="D462" i="6"/>
  <c r="E462" i="6"/>
  <c r="F462" i="6"/>
  <c r="C462" i="6"/>
  <c r="F42" i="5"/>
  <c r="G42" i="5"/>
  <c r="H42" i="5"/>
  <c r="E42" i="5"/>
  <c r="F43" i="5"/>
  <c r="G43" i="5"/>
  <c r="H43" i="5"/>
  <c r="E43" i="5"/>
  <c r="D459" i="6"/>
  <c r="E459" i="6"/>
  <c r="F459" i="6"/>
  <c r="C459" i="6"/>
  <c r="F37" i="5"/>
  <c r="G37" i="5"/>
  <c r="H37" i="5"/>
  <c r="J37" i="5" s="1"/>
  <c r="F38" i="5"/>
  <c r="G38" i="5"/>
  <c r="H38" i="5"/>
  <c r="F39" i="5"/>
  <c r="G39" i="5"/>
  <c r="H39" i="5"/>
  <c r="F40" i="5"/>
  <c r="G40" i="5"/>
  <c r="H40" i="5"/>
  <c r="E40" i="5"/>
  <c r="E39" i="5"/>
  <c r="E38" i="5"/>
  <c r="D454" i="6"/>
  <c r="E454" i="6"/>
  <c r="F454" i="6"/>
  <c r="C454" i="6"/>
  <c r="E37" i="5"/>
  <c r="F33" i="5"/>
  <c r="G33" i="5"/>
  <c r="H33" i="5"/>
  <c r="I33" i="5" s="1"/>
  <c r="E33" i="5"/>
  <c r="F450" i="6"/>
  <c r="D450" i="6"/>
  <c r="E450" i="6"/>
  <c r="C450" i="6"/>
  <c r="F31" i="5"/>
  <c r="G31" i="5"/>
  <c r="H31" i="5"/>
  <c r="F32" i="5"/>
  <c r="G32" i="5"/>
  <c r="H32" i="5"/>
  <c r="E32" i="5"/>
  <c r="E31" i="5"/>
  <c r="H454" i="6" l="1"/>
  <c r="G454" i="6"/>
  <c r="H487" i="6"/>
  <c r="G487" i="6"/>
  <c r="H465" i="5"/>
  <c r="J466" i="5"/>
  <c r="H49" i="6"/>
  <c r="G49" i="6"/>
  <c r="H51" i="6"/>
  <c r="H78" i="6"/>
  <c r="H116" i="6"/>
  <c r="G116" i="6"/>
  <c r="H450" i="6"/>
  <c r="G450" i="6"/>
  <c r="J39" i="5"/>
  <c r="I39" i="5"/>
  <c r="J50" i="5"/>
  <c r="I50" i="5"/>
  <c r="H125" i="6"/>
  <c r="G125" i="6"/>
  <c r="H174" i="6"/>
  <c r="G174" i="6"/>
  <c r="H186" i="6"/>
  <c r="G186" i="6"/>
  <c r="H94" i="6"/>
  <c r="H26" i="6"/>
  <c r="J32" i="5"/>
  <c r="I32" i="5"/>
  <c r="J38" i="5"/>
  <c r="I38" i="5"/>
  <c r="H16" i="6"/>
  <c r="G16" i="6"/>
  <c r="H41" i="6"/>
  <c r="G41" i="6"/>
  <c r="H67" i="6"/>
  <c r="G67" i="6"/>
  <c r="H106" i="6"/>
  <c r="G106" i="6"/>
  <c r="I466" i="5"/>
  <c r="J40" i="5"/>
  <c r="I40" i="5"/>
  <c r="G22" i="6"/>
  <c r="H22" i="6"/>
  <c r="H37" i="6"/>
  <c r="H47" i="6"/>
  <c r="G47" i="6"/>
  <c r="I214" i="5"/>
  <c r="J53" i="5"/>
  <c r="H35" i="6"/>
  <c r="G35" i="6"/>
  <c r="H60" i="6"/>
  <c r="H89" i="6"/>
  <c r="G89" i="6"/>
  <c r="J31" i="5"/>
  <c r="I31" i="5"/>
  <c r="J33" i="5"/>
  <c r="H459" i="6"/>
  <c r="G459" i="6"/>
  <c r="J43" i="5"/>
  <c r="I43" i="5"/>
  <c r="J42" i="5"/>
  <c r="I42" i="5"/>
  <c r="H462" i="6"/>
  <c r="G462" i="6"/>
  <c r="H44" i="5"/>
  <c r="J45" i="5"/>
  <c r="H464" i="6"/>
  <c r="G464" i="6"/>
  <c r="J47" i="5"/>
  <c r="I47" i="5"/>
  <c r="H467" i="6"/>
  <c r="G467" i="6"/>
  <c r="H469" i="6"/>
  <c r="G469" i="6"/>
  <c r="J56" i="5"/>
  <c r="I56" i="5"/>
  <c r="H471" i="6"/>
  <c r="G471" i="6"/>
  <c r="J57" i="5"/>
  <c r="J62" i="5"/>
  <c r="H476" i="6"/>
  <c r="G476" i="6"/>
  <c r="J63" i="5"/>
  <c r="I63" i="5"/>
  <c r="H484" i="6"/>
  <c r="G484" i="6"/>
  <c r="H82" i="5"/>
  <c r="H81" i="5" s="1"/>
  <c r="H489" i="6"/>
  <c r="G489" i="6"/>
  <c r="H74" i="5"/>
  <c r="J75" i="5"/>
  <c r="I75" i="5"/>
  <c r="J76" i="5"/>
  <c r="I76" i="5"/>
  <c r="J79" i="5"/>
  <c r="I79" i="5"/>
  <c r="J80" i="5"/>
  <c r="I80" i="5"/>
  <c r="H769" i="6"/>
  <c r="G769" i="6"/>
  <c r="H778" i="6"/>
  <c r="G778" i="6"/>
  <c r="J443" i="5"/>
  <c r="I443" i="5"/>
  <c r="G172" i="4"/>
  <c r="I37" i="5"/>
  <c r="H21" i="6"/>
  <c r="G21" i="6"/>
  <c r="H36" i="6"/>
  <c r="G36" i="6"/>
  <c r="H42" i="6"/>
  <c r="H57" i="6"/>
  <c r="G57" i="6"/>
  <c r="H62" i="6"/>
  <c r="G62" i="6"/>
  <c r="H69" i="6"/>
  <c r="G69" i="6"/>
  <c r="G74" i="6"/>
  <c r="H74" i="6"/>
  <c r="H80" i="6"/>
  <c r="G80" i="6"/>
  <c r="H96" i="6"/>
  <c r="G96" i="6"/>
  <c r="G110" i="6"/>
  <c r="H110" i="6"/>
  <c r="H118" i="6"/>
  <c r="G118" i="6"/>
  <c r="H128" i="6"/>
  <c r="G128" i="6"/>
  <c r="H178" i="6"/>
  <c r="G178" i="6"/>
  <c r="H58" i="6"/>
  <c r="G58" i="6"/>
  <c r="H63" i="6"/>
  <c r="G63" i="6"/>
  <c r="H72" i="6"/>
  <c r="G72" i="6"/>
  <c r="H76" i="6"/>
  <c r="G76" i="6"/>
  <c r="H82" i="6"/>
  <c r="G82" i="6"/>
  <c r="H98" i="6"/>
  <c r="G98" i="6"/>
  <c r="H113" i="6"/>
  <c r="G113" i="6"/>
  <c r="H121" i="6"/>
  <c r="G121" i="6"/>
  <c r="H132" i="6"/>
  <c r="G132" i="6"/>
  <c r="H181" i="6"/>
  <c r="G181" i="6"/>
  <c r="H107" i="6"/>
  <c r="G107" i="6"/>
  <c r="H112" i="6"/>
  <c r="G112" i="6"/>
  <c r="G29" i="6"/>
  <c r="H25" i="6"/>
  <c r="G25" i="6"/>
  <c r="H39" i="6"/>
  <c r="G39" i="6"/>
  <c r="H48" i="6"/>
  <c r="G48" i="6"/>
  <c r="H59" i="6"/>
  <c r="G59" i="6"/>
  <c r="H64" i="6"/>
  <c r="G64" i="6"/>
  <c r="H73" i="6"/>
  <c r="H77" i="6"/>
  <c r="G77" i="6"/>
  <c r="H83" i="6"/>
  <c r="G83" i="6"/>
  <c r="H100" i="6"/>
  <c r="H114" i="6"/>
  <c r="H123" i="6"/>
  <c r="H173" i="6"/>
  <c r="G173" i="6"/>
  <c r="H184" i="6"/>
  <c r="G184" i="6"/>
  <c r="H92" i="6"/>
  <c r="G92" i="6"/>
  <c r="H12" i="6"/>
  <c r="G12" i="6"/>
  <c r="G195" i="6"/>
  <c r="G91" i="6"/>
  <c r="F465" i="5"/>
  <c r="C483" i="6"/>
  <c r="D483" i="6"/>
  <c r="E483" i="6"/>
  <c r="G74" i="5"/>
  <c r="F74" i="5"/>
  <c r="E74" i="5"/>
  <c r="F483" i="6"/>
  <c r="D466" i="6"/>
  <c r="F55" i="5"/>
  <c r="E55" i="5"/>
  <c r="C466" i="6"/>
  <c r="G55" i="5"/>
  <c r="H55" i="5"/>
  <c r="F41" i="5"/>
  <c r="H46" i="5"/>
  <c r="C449" i="6"/>
  <c r="E449" i="6"/>
  <c r="D449" i="6"/>
  <c r="F449" i="6"/>
  <c r="H41" i="5"/>
  <c r="F36" i="5"/>
  <c r="G41" i="5"/>
  <c r="F44" i="5"/>
  <c r="G36" i="5"/>
  <c r="E41" i="5"/>
  <c r="H36" i="5"/>
  <c r="E36" i="5"/>
  <c r="F28" i="5"/>
  <c r="G28" i="5"/>
  <c r="H28" i="5"/>
  <c r="E28" i="5"/>
  <c r="E27" i="5" s="1"/>
  <c r="F27" i="5"/>
  <c r="D447" i="6"/>
  <c r="D446" i="6" s="1"/>
  <c r="E447" i="6"/>
  <c r="E446" i="6" s="1"/>
  <c r="F447" i="6"/>
  <c r="C447" i="6"/>
  <c r="C446" i="6" s="1"/>
  <c r="F72" i="5"/>
  <c r="G72" i="5"/>
  <c r="H72" i="5"/>
  <c r="E72" i="5"/>
  <c r="F582" i="6"/>
  <c r="E582" i="6"/>
  <c r="E581" i="6" s="1"/>
  <c r="D582" i="6"/>
  <c r="D581" i="6" s="1"/>
  <c r="C582" i="6"/>
  <c r="C581" i="6" s="1"/>
  <c r="F26" i="5"/>
  <c r="G26" i="5"/>
  <c r="G25" i="5" s="1"/>
  <c r="H26" i="5"/>
  <c r="E26" i="5"/>
  <c r="E25" i="5" s="1"/>
  <c r="D607" i="6"/>
  <c r="E607" i="6"/>
  <c r="E605" i="6" s="1"/>
  <c r="F607" i="6"/>
  <c r="C607" i="6"/>
  <c r="C605" i="6" s="1"/>
  <c r="D605" i="6"/>
  <c r="D602" i="6"/>
  <c r="D601" i="6" s="1"/>
  <c r="E602" i="6"/>
  <c r="E601" i="6" s="1"/>
  <c r="F602" i="6"/>
  <c r="C602" i="6"/>
  <c r="C601" i="6" s="1"/>
  <c r="D598" i="6"/>
  <c r="D597" i="6" s="1"/>
  <c r="E598" i="6"/>
  <c r="E597" i="6" s="1"/>
  <c r="F598" i="6"/>
  <c r="C598" i="6"/>
  <c r="C597" i="6" s="1"/>
  <c r="F18" i="5"/>
  <c r="G18" i="5"/>
  <c r="H18" i="5"/>
  <c r="F19" i="5"/>
  <c r="G19" i="5"/>
  <c r="H19" i="5"/>
  <c r="E19" i="5"/>
  <c r="E18" i="5"/>
  <c r="C495" i="6"/>
  <c r="C494" i="6" s="1"/>
  <c r="C493" i="6" s="1"/>
  <c r="C492" i="6" s="1"/>
  <c r="C491" i="6" s="1"/>
  <c r="D495" i="6"/>
  <c r="E495" i="6"/>
  <c r="E494" i="6" s="1"/>
  <c r="E493" i="6" s="1"/>
  <c r="E492" i="6" s="1"/>
  <c r="E491" i="6" s="1"/>
  <c r="F442" i="5"/>
  <c r="G442" i="5"/>
  <c r="H442" i="5"/>
  <c r="E442" i="5"/>
  <c r="F420" i="5"/>
  <c r="G420" i="5"/>
  <c r="H420" i="5"/>
  <c r="E420" i="5"/>
  <c r="F418" i="5"/>
  <c r="G418" i="5"/>
  <c r="H418" i="5"/>
  <c r="E418" i="5"/>
  <c r="F414" i="5"/>
  <c r="G414" i="5"/>
  <c r="H414" i="5"/>
  <c r="F415" i="5"/>
  <c r="G415" i="5"/>
  <c r="H415" i="5"/>
  <c r="F416" i="5"/>
  <c r="G416" i="5"/>
  <c r="H416" i="5"/>
  <c r="E416" i="5"/>
  <c r="E415" i="5"/>
  <c r="E414" i="5"/>
  <c r="F410" i="5"/>
  <c r="G410" i="5"/>
  <c r="H410" i="5"/>
  <c r="E410" i="5"/>
  <c r="F406" i="5"/>
  <c r="G406" i="5"/>
  <c r="H406" i="5"/>
  <c r="F407" i="5"/>
  <c r="G407" i="5"/>
  <c r="H407" i="5"/>
  <c r="E407" i="5"/>
  <c r="E406" i="5"/>
  <c r="F400" i="5"/>
  <c r="G400" i="5"/>
  <c r="H400" i="5"/>
  <c r="E400" i="5"/>
  <c r="D654" i="6"/>
  <c r="E654" i="6"/>
  <c r="F654" i="6"/>
  <c r="C654" i="6"/>
  <c r="F667" i="6"/>
  <c r="E667" i="6"/>
  <c r="D667" i="6"/>
  <c r="C667" i="6"/>
  <c r="F665" i="6"/>
  <c r="E665" i="6"/>
  <c r="D665" i="6"/>
  <c r="C665" i="6"/>
  <c r="F662" i="6"/>
  <c r="E662" i="6"/>
  <c r="D662" i="6"/>
  <c r="C662" i="6"/>
  <c r="F660" i="6"/>
  <c r="E660" i="6"/>
  <c r="D660" i="6"/>
  <c r="C660" i="6"/>
  <c r="F658" i="6"/>
  <c r="E658" i="6"/>
  <c r="D658" i="6"/>
  <c r="C658" i="6"/>
  <c r="F650" i="6"/>
  <c r="E650" i="6"/>
  <c r="E649" i="6" s="1"/>
  <c r="D650" i="6"/>
  <c r="D649" i="6" s="1"/>
  <c r="C650" i="6"/>
  <c r="C649" i="6" s="1"/>
  <c r="F646" i="6"/>
  <c r="E646" i="6"/>
  <c r="E645" i="6" s="1"/>
  <c r="D646" i="6"/>
  <c r="D645" i="6" s="1"/>
  <c r="C646" i="6"/>
  <c r="C645" i="6" s="1"/>
  <c r="F643" i="6"/>
  <c r="E643" i="6"/>
  <c r="E642" i="6" s="1"/>
  <c r="D643" i="6"/>
  <c r="D642" i="6" s="1"/>
  <c r="C643" i="6"/>
  <c r="C642" i="6" s="1"/>
  <c r="E50" i="2"/>
  <c r="D50" i="2"/>
  <c r="E52" i="2"/>
  <c r="F52" i="2"/>
  <c r="G52" i="2"/>
  <c r="D52" i="2"/>
  <c r="D25" i="2"/>
  <c r="E25" i="2"/>
  <c r="F22" i="2"/>
  <c r="D22" i="2"/>
  <c r="E22" i="2"/>
  <c r="D26" i="2"/>
  <c r="E26" i="2"/>
  <c r="E25" i="1"/>
  <c r="F25" i="1"/>
  <c r="E16" i="1"/>
  <c r="F16" i="1"/>
  <c r="F8" i="1" s="1"/>
  <c r="E8" i="1"/>
  <c r="E95" i="1" s="1"/>
  <c r="F69" i="1"/>
  <c r="G69" i="1"/>
  <c r="H69" i="1"/>
  <c r="E69" i="1"/>
  <c r="F464" i="5"/>
  <c r="F463" i="5" s="1"/>
  <c r="G464" i="5"/>
  <c r="G463" i="5" s="1"/>
  <c r="G461" i="5" s="1"/>
  <c r="G460" i="5" s="1"/>
  <c r="G459" i="5" s="1"/>
  <c r="H464" i="5"/>
  <c r="F446" i="5"/>
  <c r="G446" i="5"/>
  <c r="H446" i="5"/>
  <c r="E446" i="5"/>
  <c r="E464" i="5"/>
  <c r="E463" i="5" s="1"/>
  <c r="E461" i="5" s="1"/>
  <c r="E460" i="5" s="1"/>
  <c r="D776" i="6"/>
  <c r="D775" i="6" s="1"/>
  <c r="E776" i="6"/>
  <c r="E775" i="6" s="1"/>
  <c r="F776" i="6"/>
  <c r="C776" i="6"/>
  <c r="C775" i="6" s="1"/>
  <c r="D771" i="6"/>
  <c r="E771" i="6"/>
  <c r="F771" i="6"/>
  <c r="C771" i="6"/>
  <c r="C785" i="6"/>
  <c r="C784" i="6" s="1"/>
  <c r="D785" i="6"/>
  <c r="D784" i="6" s="1"/>
  <c r="E785" i="6"/>
  <c r="E784" i="6" s="1"/>
  <c r="F785" i="6"/>
  <c r="C788" i="6"/>
  <c r="C787" i="6" s="1"/>
  <c r="D788" i="6"/>
  <c r="D787" i="6" s="1"/>
  <c r="E788" i="6"/>
  <c r="E787" i="6" s="1"/>
  <c r="F788" i="6"/>
  <c r="C617" i="6"/>
  <c r="D516" i="6"/>
  <c r="D515" i="6" s="1"/>
  <c r="E516" i="6"/>
  <c r="E515" i="6" s="1"/>
  <c r="F516" i="6"/>
  <c r="C516" i="6"/>
  <c r="E78" i="5"/>
  <c r="E77" i="5" s="1"/>
  <c r="F77" i="5"/>
  <c r="G77" i="5"/>
  <c r="H77" i="5"/>
  <c r="F81" i="5"/>
  <c r="G81" i="5"/>
  <c r="F67" i="5"/>
  <c r="G67" i="5"/>
  <c r="H67" i="5"/>
  <c r="F68" i="5"/>
  <c r="G68" i="5"/>
  <c r="H68" i="5"/>
  <c r="E68" i="5"/>
  <c r="E67" i="5"/>
  <c r="F35" i="5"/>
  <c r="F34" i="5" s="1"/>
  <c r="G35" i="5"/>
  <c r="G34" i="5" s="1"/>
  <c r="H35" i="5"/>
  <c r="E35" i="5"/>
  <c r="E34" i="5" s="1"/>
  <c r="D435" i="6"/>
  <c r="E435" i="6"/>
  <c r="F435" i="6"/>
  <c r="D433" i="6"/>
  <c r="E433" i="6"/>
  <c r="F433" i="6"/>
  <c r="D431" i="6"/>
  <c r="E431" i="6"/>
  <c r="F431" i="6"/>
  <c r="C435" i="6"/>
  <c r="C433" i="6"/>
  <c r="C431" i="6"/>
  <c r="C423" i="6"/>
  <c r="C419" i="6"/>
  <c r="C421" i="6"/>
  <c r="C412" i="6"/>
  <c r="D410" i="6"/>
  <c r="E410" i="6"/>
  <c r="F410" i="6"/>
  <c r="C410" i="6"/>
  <c r="D339" i="6"/>
  <c r="D336" i="6" s="1"/>
  <c r="E339" i="6"/>
  <c r="F339" i="6"/>
  <c r="D329" i="6"/>
  <c r="E329" i="6"/>
  <c r="F329" i="6"/>
  <c r="C329" i="6"/>
  <c r="C38" i="6"/>
  <c r="E438" i="5"/>
  <c r="E437" i="5" s="1"/>
  <c r="F438" i="5"/>
  <c r="F437" i="5" s="1"/>
  <c r="G438" i="5"/>
  <c r="H438" i="5"/>
  <c r="I77" i="5" l="1"/>
  <c r="J77" i="5"/>
  <c r="J68" i="5"/>
  <c r="I68" i="5"/>
  <c r="J446" i="5"/>
  <c r="I446" i="5"/>
  <c r="J18" i="5"/>
  <c r="I18" i="5"/>
  <c r="J72" i="5"/>
  <c r="I72" i="5"/>
  <c r="J46" i="5"/>
  <c r="I46" i="5"/>
  <c r="J74" i="5"/>
  <c r="I74" i="5"/>
  <c r="H431" i="6"/>
  <c r="G431" i="6"/>
  <c r="H654" i="6"/>
  <c r="G654" i="6"/>
  <c r="J400" i="5"/>
  <c r="I400" i="5"/>
  <c r="J406" i="5"/>
  <c r="I406" i="5"/>
  <c r="J410" i="5"/>
  <c r="I410" i="5"/>
  <c r="J414" i="5"/>
  <c r="I414" i="5"/>
  <c r="J418" i="5"/>
  <c r="I418" i="5"/>
  <c r="J420" i="5"/>
  <c r="I420" i="5"/>
  <c r="J442" i="5"/>
  <c r="I442" i="5"/>
  <c r="J19" i="5"/>
  <c r="I19" i="5"/>
  <c r="F605" i="6"/>
  <c r="H607" i="6"/>
  <c r="G607" i="6"/>
  <c r="H25" i="5"/>
  <c r="J26" i="5"/>
  <c r="I26" i="5"/>
  <c r="J28" i="5"/>
  <c r="I28" i="5"/>
  <c r="J36" i="5"/>
  <c r="I36" i="5"/>
  <c r="J44" i="5"/>
  <c r="I44" i="5"/>
  <c r="H433" i="6"/>
  <c r="G433" i="6"/>
  <c r="F601" i="6"/>
  <c r="H602" i="6"/>
  <c r="G602" i="6"/>
  <c r="J407" i="5"/>
  <c r="I407" i="5"/>
  <c r="J415" i="5"/>
  <c r="I415" i="5"/>
  <c r="F581" i="6"/>
  <c r="H582" i="6"/>
  <c r="G582" i="6"/>
  <c r="J55" i="5"/>
  <c r="I55" i="5"/>
  <c r="H329" i="6"/>
  <c r="G329" i="6"/>
  <c r="F597" i="6"/>
  <c r="H598" i="6"/>
  <c r="G598" i="6"/>
  <c r="F446" i="6"/>
  <c r="H447" i="6"/>
  <c r="G447" i="6"/>
  <c r="H449" i="6"/>
  <c r="G449" i="6"/>
  <c r="H483" i="6"/>
  <c r="G483" i="6"/>
  <c r="J438" i="5"/>
  <c r="I438" i="5"/>
  <c r="J81" i="5"/>
  <c r="I81" i="5"/>
  <c r="H516" i="6"/>
  <c r="G516" i="6"/>
  <c r="F787" i="6"/>
  <c r="H788" i="6"/>
  <c r="G788" i="6"/>
  <c r="F784" i="6"/>
  <c r="G785" i="6"/>
  <c r="H785" i="6"/>
  <c r="H339" i="6"/>
  <c r="G339" i="6"/>
  <c r="H410" i="6"/>
  <c r="G410" i="6"/>
  <c r="H435" i="6"/>
  <c r="G435" i="6"/>
  <c r="J35" i="5"/>
  <c r="I35" i="5"/>
  <c r="J67" i="5"/>
  <c r="I67" i="5"/>
  <c r="F768" i="6"/>
  <c r="H771" i="6"/>
  <c r="G771" i="6"/>
  <c r="F775" i="6"/>
  <c r="H776" i="6"/>
  <c r="G776" i="6"/>
  <c r="H463" i="5"/>
  <c r="J464" i="5"/>
  <c r="I464" i="5"/>
  <c r="F642" i="6"/>
  <c r="H643" i="6"/>
  <c r="G643" i="6"/>
  <c r="H646" i="6"/>
  <c r="G646" i="6"/>
  <c r="H650" i="6"/>
  <c r="G650" i="6"/>
  <c r="H658" i="6"/>
  <c r="G658" i="6"/>
  <c r="H660" i="6"/>
  <c r="G660" i="6"/>
  <c r="H662" i="6"/>
  <c r="G662" i="6"/>
  <c r="H665" i="6"/>
  <c r="G665" i="6"/>
  <c r="H667" i="6"/>
  <c r="G667" i="6"/>
  <c r="J416" i="5"/>
  <c r="I416" i="5"/>
  <c r="J41" i="5"/>
  <c r="I41" i="5"/>
  <c r="I82" i="5"/>
  <c r="J82" i="5"/>
  <c r="J465" i="5"/>
  <c r="I465" i="5"/>
  <c r="E774" i="6"/>
  <c r="E773" i="6" s="1"/>
  <c r="H437" i="5"/>
  <c r="D774" i="6"/>
  <c r="D773" i="6" s="1"/>
  <c r="C773" i="6"/>
  <c r="C774" i="6"/>
  <c r="F774" i="6"/>
  <c r="F461" i="5"/>
  <c r="F460" i="5" s="1"/>
  <c r="F459" i="5" s="1"/>
  <c r="H73" i="5"/>
  <c r="C768" i="6"/>
  <c r="C767" i="6" s="1"/>
  <c r="C766" i="6" s="1"/>
  <c r="G73" i="5"/>
  <c r="D768" i="6"/>
  <c r="D767" i="6" s="1"/>
  <c r="D766" i="6" s="1"/>
  <c r="E768" i="6"/>
  <c r="E767" i="6" s="1"/>
  <c r="E766" i="6" s="1"/>
  <c r="F73" i="5"/>
  <c r="H34" i="5"/>
  <c r="E24" i="5"/>
  <c r="G27" i="5"/>
  <c r="G24" i="5" s="1"/>
  <c r="H27" i="5"/>
  <c r="G17" i="5"/>
  <c r="G16" i="5" s="1"/>
  <c r="E30" i="5"/>
  <c r="E29" i="5" s="1"/>
  <c r="F30" i="5"/>
  <c r="F29" i="5" s="1"/>
  <c r="F25" i="5"/>
  <c r="F24" i="5" s="1"/>
  <c r="H17" i="5"/>
  <c r="F17" i="5"/>
  <c r="F16" i="5" s="1"/>
  <c r="E17" i="5"/>
  <c r="E16" i="5" s="1"/>
  <c r="D494" i="6"/>
  <c r="D493" i="6" s="1"/>
  <c r="D492" i="6" s="1"/>
  <c r="D491" i="6" s="1"/>
  <c r="F495" i="6"/>
  <c r="D664" i="6"/>
  <c r="D653" i="6"/>
  <c r="E664" i="6"/>
  <c r="F664" i="6"/>
  <c r="E653" i="6"/>
  <c r="C653" i="6"/>
  <c r="C664" i="6"/>
  <c r="E641" i="6"/>
  <c r="C641" i="6"/>
  <c r="D641" i="6"/>
  <c r="F645" i="6"/>
  <c r="F649" i="6"/>
  <c r="F653" i="6"/>
  <c r="F767" i="6"/>
  <c r="F783" i="6"/>
  <c r="H66" i="5"/>
  <c r="E783" i="6"/>
  <c r="E782" i="6" s="1"/>
  <c r="D783" i="6"/>
  <c r="D782" i="6" s="1"/>
  <c r="C783" i="6"/>
  <c r="C782" i="6" s="1"/>
  <c r="F430" i="6"/>
  <c r="E430" i="6"/>
  <c r="G66" i="5"/>
  <c r="D430" i="6"/>
  <c r="E81" i="5"/>
  <c r="E73" i="5" s="1"/>
  <c r="F515" i="6"/>
  <c r="F66" i="5"/>
  <c r="E66" i="5"/>
  <c r="C430" i="6"/>
  <c r="G437" i="5"/>
  <c r="H645" i="6" l="1"/>
  <c r="G645" i="6"/>
  <c r="J27" i="5"/>
  <c r="I27" i="5"/>
  <c r="J437" i="5"/>
  <c r="I437" i="5"/>
  <c r="H775" i="6"/>
  <c r="G775" i="6"/>
  <c r="H784" i="6"/>
  <c r="G784" i="6"/>
  <c r="F766" i="6"/>
  <c r="H767" i="6"/>
  <c r="G767" i="6"/>
  <c r="D652" i="6"/>
  <c r="H461" i="5"/>
  <c r="J463" i="5"/>
  <c r="I463" i="5"/>
  <c r="G601" i="6"/>
  <c r="H601" i="6"/>
  <c r="J60" i="5"/>
  <c r="I60" i="5"/>
  <c r="F773" i="6"/>
  <c r="H774" i="6"/>
  <c r="G774" i="6"/>
  <c r="J25" i="5"/>
  <c r="I25" i="5"/>
  <c r="J73" i="5"/>
  <c r="I73" i="5"/>
  <c r="H642" i="6"/>
  <c r="G642" i="6"/>
  <c r="H581" i="6"/>
  <c r="G581" i="6"/>
  <c r="F782" i="6"/>
  <c r="H783" i="6"/>
  <c r="G783" i="6"/>
  <c r="H446" i="6"/>
  <c r="G446" i="6"/>
  <c r="H515" i="6"/>
  <c r="G515" i="6"/>
  <c r="H653" i="6"/>
  <c r="G653" i="6"/>
  <c r="H430" i="6"/>
  <c r="G430" i="6"/>
  <c r="J66" i="5"/>
  <c r="I66" i="5"/>
  <c r="G649" i="6"/>
  <c r="H649" i="6"/>
  <c r="H664" i="6"/>
  <c r="G664" i="6"/>
  <c r="H495" i="6"/>
  <c r="G495" i="6"/>
  <c r="H16" i="5"/>
  <c r="J17" i="5"/>
  <c r="I17" i="5"/>
  <c r="J34" i="5"/>
  <c r="I34" i="5"/>
  <c r="H768" i="6"/>
  <c r="G768" i="6"/>
  <c r="H787" i="6"/>
  <c r="G787" i="6"/>
  <c r="H597" i="6"/>
  <c r="G597" i="6"/>
  <c r="H605" i="6"/>
  <c r="G605" i="6"/>
  <c r="D765" i="6"/>
  <c r="D764" i="6" s="1"/>
  <c r="F765" i="6"/>
  <c r="E765" i="6"/>
  <c r="E764" i="6" s="1"/>
  <c r="C765" i="6"/>
  <c r="C764" i="6" s="1"/>
  <c r="H24" i="5"/>
  <c r="D640" i="6"/>
  <c r="D639" i="6" s="1"/>
  <c r="D638" i="6" s="1"/>
  <c r="E652" i="6"/>
  <c r="E640" i="6" s="1"/>
  <c r="E639" i="6" s="1"/>
  <c r="E638" i="6" s="1"/>
  <c r="F494" i="6"/>
  <c r="C652" i="6"/>
  <c r="C640" i="6" s="1"/>
  <c r="C639" i="6" s="1"/>
  <c r="C638" i="6" s="1"/>
  <c r="F641" i="6"/>
  <c r="F652" i="6"/>
  <c r="H22" i="5"/>
  <c r="H71" i="5"/>
  <c r="J16" i="5" l="1"/>
  <c r="I16" i="5"/>
  <c r="H652" i="6"/>
  <c r="G652" i="6"/>
  <c r="H460" i="5"/>
  <c r="J461" i="5"/>
  <c r="I461" i="5"/>
  <c r="H766" i="6"/>
  <c r="G766" i="6"/>
  <c r="F493" i="6"/>
  <c r="H494" i="6"/>
  <c r="G494" i="6"/>
  <c r="H641" i="6"/>
  <c r="G641" i="6"/>
  <c r="F764" i="6"/>
  <c r="G765" i="6"/>
  <c r="H765" i="6"/>
  <c r="H773" i="6"/>
  <c r="G773" i="6"/>
  <c r="J24" i="5"/>
  <c r="I24" i="5"/>
  <c r="H782" i="6"/>
  <c r="G782" i="6"/>
  <c r="F640" i="6"/>
  <c r="D750" i="6"/>
  <c r="E750" i="6"/>
  <c r="F750" i="6"/>
  <c r="C750" i="6"/>
  <c r="H750" i="6" l="1"/>
  <c r="G750" i="6"/>
  <c r="H764" i="6"/>
  <c r="G764" i="6"/>
  <c r="H640" i="6"/>
  <c r="G640" i="6"/>
  <c r="F492" i="6"/>
  <c r="H493" i="6"/>
  <c r="G493" i="6"/>
  <c r="H459" i="5"/>
  <c r="I460" i="5"/>
  <c r="J460" i="5"/>
  <c r="F639" i="6"/>
  <c r="F127" i="6"/>
  <c r="E528" i="5"/>
  <c r="F528" i="5"/>
  <c r="G528" i="5"/>
  <c r="C572" i="6"/>
  <c r="F491" i="6" l="1"/>
  <c r="H492" i="6"/>
  <c r="G492" i="6"/>
  <c r="H127" i="6"/>
  <c r="G127" i="6"/>
  <c r="J459" i="5"/>
  <c r="I459" i="5"/>
  <c r="H639" i="6"/>
  <c r="G639" i="6"/>
  <c r="F638" i="6"/>
  <c r="E71" i="5"/>
  <c r="F71" i="5"/>
  <c r="I71" i="5" s="1"/>
  <c r="G71" i="5"/>
  <c r="J71" i="5" s="1"/>
  <c r="E59" i="5"/>
  <c r="F59" i="5"/>
  <c r="F58" i="5" s="1"/>
  <c r="H59" i="5"/>
  <c r="G59" i="5"/>
  <c r="G58" i="5" s="1"/>
  <c r="E65" i="5"/>
  <c r="E64" i="5" s="1"/>
  <c r="F65" i="5"/>
  <c r="G65" i="5"/>
  <c r="E52" i="5"/>
  <c r="F52" i="5"/>
  <c r="G52" i="5"/>
  <c r="E54" i="5"/>
  <c r="F54" i="5"/>
  <c r="G54" i="5"/>
  <c r="E49" i="5"/>
  <c r="F49" i="5"/>
  <c r="G49" i="5"/>
  <c r="G22" i="5"/>
  <c r="J22" i="5" s="1"/>
  <c r="F22" i="5"/>
  <c r="I22" i="5" s="1"/>
  <c r="E22" i="5"/>
  <c r="E21" i="5" s="1"/>
  <c r="E20" i="5" s="1"/>
  <c r="E474" i="6"/>
  <c r="E466" i="6" s="1"/>
  <c r="C480" i="6"/>
  <c r="C479" i="6" s="1"/>
  <c r="C445" i="6" s="1"/>
  <c r="D480" i="6"/>
  <c r="D479" i="6" s="1"/>
  <c r="D445" i="6" s="1"/>
  <c r="F480" i="6"/>
  <c r="E480" i="6"/>
  <c r="E479" i="6" s="1"/>
  <c r="F474" i="6"/>
  <c r="F441" i="6"/>
  <c r="C441" i="6"/>
  <c r="C440" i="6" s="1"/>
  <c r="C439" i="6" s="1"/>
  <c r="C438" i="6" s="1"/>
  <c r="C437" i="6" s="1"/>
  <c r="D441" i="6"/>
  <c r="D440" i="6" s="1"/>
  <c r="D439" i="6" s="1"/>
  <c r="D438" i="6" s="1"/>
  <c r="D437" i="6" s="1"/>
  <c r="C427" i="6"/>
  <c r="C426" i="6" s="1"/>
  <c r="D427" i="6"/>
  <c r="D426" i="6" s="1"/>
  <c r="C417" i="6"/>
  <c r="C416" i="6" s="1"/>
  <c r="D417" i="6"/>
  <c r="D416" i="6" s="1"/>
  <c r="C407" i="6"/>
  <c r="C406" i="6" s="1"/>
  <c r="D407" i="6"/>
  <c r="D406" i="6" s="1"/>
  <c r="E441" i="6"/>
  <c r="E440" i="6" s="1"/>
  <c r="E439" i="6" s="1"/>
  <c r="E438" i="6" s="1"/>
  <c r="E437" i="6" s="1"/>
  <c r="E29" i="6"/>
  <c r="H29" i="6" s="1"/>
  <c r="D12" i="2"/>
  <c r="E127" i="5"/>
  <c r="E524" i="5"/>
  <c r="E523" i="5" s="1"/>
  <c r="C126" i="6"/>
  <c r="C124" i="6"/>
  <c r="C119" i="6"/>
  <c r="C117" i="6"/>
  <c r="C115" i="6"/>
  <c r="C111" i="6"/>
  <c r="C109" i="6"/>
  <c r="C102" i="6"/>
  <c r="C101" i="6" s="1"/>
  <c r="C97" i="6"/>
  <c r="C95" i="6"/>
  <c r="C90" i="6"/>
  <c r="C88" i="6"/>
  <c r="C81" i="6"/>
  <c r="C79" i="6"/>
  <c r="C75" i="6"/>
  <c r="C68" i="6"/>
  <c r="C71" i="6"/>
  <c r="C66" i="6"/>
  <c r="C61" i="6"/>
  <c r="C56" i="6"/>
  <c r="C52" i="6"/>
  <c r="C46" i="6"/>
  <c r="C43" i="6"/>
  <c r="C40" i="6"/>
  <c r="C636" i="6"/>
  <c r="C533" i="6"/>
  <c r="C30" i="6"/>
  <c r="E322" i="5"/>
  <c r="D399" i="6"/>
  <c r="D398" i="6" s="1"/>
  <c r="D397" i="6" s="1"/>
  <c r="C399" i="6"/>
  <c r="C398" i="6" s="1"/>
  <c r="C397" i="6" s="1"/>
  <c r="C11" i="6"/>
  <c r="C15" i="6"/>
  <c r="C17" i="6"/>
  <c r="C20" i="6"/>
  <c r="C19" i="6" s="1"/>
  <c r="C28" i="6"/>
  <c r="E134" i="5"/>
  <c r="C86" i="6"/>
  <c r="C105" i="6"/>
  <c r="C104" i="6" s="1"/>
  <c r="C131" i="6"/>
  <c r="C134" i="6"/>
  <c r="C139" i="6"/>
  <c r="C142" i="6"/>
  <c r="C141" i="6" s="1"/>
  <c r="C146" i="6"/>
  <c r="C145" i="6" s="1"/>
  <c r="C144" i="6" s="1"/>
  <c r="C150" i="6"/>
  <c r="C155" i="6"/>
  <c r="C152" i="6" s="1"/>
  <c r="C161" i="6"/>
  <c r="C158" i="6" s="1"/>
  <c r="C166" i="6"/>
  <c r="C165" i="6" s="1"/>
  <c r="C168" i="6"/>
  <c r="C172" i="6"/>
  <c r="C177" i="6"/>
  <c r="C180" i="6"/>
  <c r="C183" i="6"/>
  <c r="C185" i="6"/>
  <c r="C187" i="6"/>
  <c r="C188" i="6"/>
  <c r="C190" i="6"/>
  <c r="C194" i="6"/>
  <c r="C193" i="6" s="1"/>
  <c r="C196" i="6"/>
  <c r="C202" i="6"/>
  <c r="C206" i="6"/>
  <c r="C209" i="6"/>
  <c r="C208" i="6" s="1"/>
  <c r="C212" i="6"/>
  <c r="C211" i="6" s="1"/>
  <c r="C216" i="6"/>
  <c r="C218" i="6"/>
  <c r="C220" i="6"/>
  <c r="C224" i="6"/>
  <c r="E319" i="5"/>
  <c r="C237" i="6"/>
  <c r="C244" i="6"/>
  <c r="C246" i="6"/>
  <c r="C249" i="6"/>
  <c r="C252" i="6"/>
  <c r="C251" i="6" s="1"/>
  <c r="C256" i="6"/>
  <c r="C255" i="6" s="1"/>
  <c r="C264" i="6"/>
  <c r="C263" i="6" s="1"/>
  <c r="C270" i="6"/>
  <c r="C269" i="6" s="1"/>
  <c r="C273" i="6"/>
  <c r="C275" i="6"/>
  <c r="C278" i="6"/>
  <c r="C282" i="6"/>
  <c r="C281" i="6" s="1"/>
  <c r="C285" i="6"/>
  <c r="C287" i="6"/>
  <c r="C294" i="6"/>
  <c r="C296" i="6"/>
  <c r="C302" i="6"/>
  <c r="C301" i="6" s="1"/>
  <c r="C306" i="6"/>
  <c r="C309" i="6"/>
  <c r="C308" i="6" s="1"/>
  <c r="C312" i="6"/>
  <c r="C323" i="6"/>
  <c r="C322" i="6" s="1"/>
  <c r="C333" i="6"/>
  <c r="C332" i="6" s="1"/>
  <c r="C339" i="6"/>
  <c r="C336" i="6" s="1"/>
  <c r="C344" i="6"/>
  <c r="C343" i="6" s="1"/>
  <c r="C348" i="6"/>
  <c r="C347" i="6" s="1"/>
  <c r="C351" i="6"/>
  <c r="C365" i="6"/>
  <c r="C364" i="6" s="1"/>
  <c r="C369" i="6"/>
  <c r="C373" i="6"/>
  <c r="C372" i="6" s="1"/>
  <c r="C371" i="6" s="1"/>
  <c r="C380" i="6"/>
  <c r="C383" i="6"/>
  <c r="C386" i="6"/>
  <c r="C385" i="6" s="1"/>
  <c r="C390" i="6"/>
  <c r="C395" i="6"/>
  <c r="C392" i="6" s="1"/>
  <c r="C502" i="6"/>
  <c r="C505" i="6"/>
  <c r="C507" i="6"/>
  <c r="C511" i="6"/>
  <c r="C515" i="6"/>
  <c r="C519" i="6"/>
  <c r="C525" i="6"/>
  <c r="C530" i="6"/>
  <c r="C535" i="6"/>
  <c r="C537" i="6"/>
  <c r="C541" i="6"/>
  <c r="C540" i="6" s="1"/>
  <c r="C539" i="6" s="1"/>
  <c r="C548" i="6"/>
  <c r="C547" i="6" s="1"/>
  <c r="C550" i="6"/>
  <c r="C553" i="6"/>
  <c r="C552" i="6" s="1"/>
  <c r="C556" i="6"/>
  <c r="C558" i="6"/>
  <c r="C560" i="6"/>
  <c r="C567" i="6"/>
  <c r="C566" i="6" s="1"/>
  <c r="C569" i="6"/>
  <c r="C571" i="6"/>
  <c r="C575" i="6"/>
  <c r="C577" i="6"/>
  <c r="C579" i="6"/>
  <c r="C589" i="6"/>
  <c r="C588" i="6" s="1"/>
  <c r="C591" i="6"/>
  <c r="C594" i="6"/>
  <c r="C593" i="6" s="1"/>
  <c r="C614" i="6"/>
  <c r="C613" i="6" s="1"/>
  <c r="C616" i="6"/>
  <c r="C621" i="6"/>
  <c r="C620" i="6" s="1"/>
  <c r="C625" i="6"/>
  <c r="C627" i="6"/>
  <c r="C629" i="6"/>
  <c r="C631" i="6"/>
  <c r="C634" i="6"/>
  <c r="C676" i="6"/>
  <c r="C673" i="6" s="1"/>
  <c r="C678" i="6"/>
  <c r="C682" i="6"/>
  <c r="C680" i="6" s="1"/>
  <c r="C685" i="6"/>
  <c r="C684" i="6" s="1"/>
  <c r="C691" i="6"/>
  <c r="C693" i="6"/>
  <c r="C695" i="6"/>
  <c r="C697" i="6"/>
  <c r="C701" i="6"/>
  <c r="C704" i="6"/>
  <c r="C707" i="6"/>
  <c r="C706" i="6" s="1"/>
  <c r="C712" i="6"/>
  <c r="C714" i="6"/>
  <c r="C716" i="6"/>
  <c r="C723" i="6"/>
  <c r="C722" i="6" s="1"/>
  <c r="C726" i="6"/>
  <c r="C730" i="6"/>
  <c r="C734" i="6"/>
  <c r="C736" i="6"/>
  <c r="C739" i="6"/>
  <c r="C743" i="6"/>
  <c r="C748" i="6"/>
  <c r="C754" i="6"/>
  <c r="C756" i="6"/>
  <c r="C759" i="6"/>
  <c r="C758" i="6" s="1"/>
  <c r="C762" i="6"/>
  <c r="C761" i="6" s="1"/>
  <c r="C793" i="6"/>
  <c r="C792" i="6" s="1"/>
  <c r="C791" i="6" s="1"/>
  <c r="C790" i="6" s="1"/>
  <c r="C781" i="6" s="1"/>
  <c r="C780" i="6" s="1"/>
  <c r="D17" i="2"/>
  <c r="D15" i="2" s="1"/>
  <c r="D14" i="2" s="1"/>
  <c r="D18" i="2"/>
  <c r="D21" i="2"/>
  <c r="D20" i="2" s="1"/>
  <c r="D19" i="2" s="1"/>
  <c r="D24" i="2"/>
  <c r="D23" i="2" s="1"/>
  <c r="D29" i="2"/>
  <c r="D28" i="2" s="1"/>
  <c r="D27" i="2" s="1"/>
  <c r="D30" i="2"/>
  <c r="D32" i="2"/>
  <c r="D31" i="2" s="1"/>
  <c r="D35" i="2"/>
  <c r="D34" i="2" s="1"/>
  <c r="D37" i="2"/>
  <c r="D36" i="2" s="1"/>
  <c r="D38" i="2"/>
  <c r="D39" i="2"/>
  <c r="D43" i="2"/>
  <c r="D44" i="2"/>
  <c r="D45" i="2"/>
  <c r="D46" i="2"/>
  <c r="D49" i="2"/>
  <c r="D51" i="2"/>
  <c r="D54" i="2"/>
  <c r="D53" i="2" s="1"/>
  <c r="D55" i="2"/>
  <c r="D56" i="2"/>
  <c r="D60" i="2"/>
  <c r="D59" i="2" s="1"/>
  <c r="D62" i="2"/>
  <c r="D61" i="2" s="1"/>
  <c r="D65" i="2"/>
  <c r="D64" i="2" s="1"/>
  <c r="D63" i="2" s="1"/>
  <c r="D69" i="2"/>
  <c r="D68" i="2" s="1"/>
  <c r="D67" i="2" s="1"/>
  <c r="D66" i="2" s="1"/>
  <c r="D73" i="2"/>
  <c r="D72" i="2" s="1"/>
  <c r="D76" i="2"/>
  <c r="D192" i="4"/>
  <c r="D191" i="4" s="1"/>
  <c r="D201" i="4"/>
  <c r="D215" i="4"/>
  <c r="D214" i="4" s="1"/>
  <c r="D217" i="4"/>
  <c r="D220" i="4"/>
  <c r="D241" i="4"/>
  <c r="D247" i="4"/>
  <c r="E11" i="1"/>
  <c r="E13" i="1"/>
  <c r="E18" i="1"/>
  <c r="E17" i="1" s="1"/>
  <c r="E23" i="1"/>
  <c r="E22" i="1" s="1"/>
  <c r="E26" i="1"/>
  <c r="E28" i="1"/>
  <c r="E31" i="1"/>
  <c r="E30" i="1" s="1"/>
  <c r="E34" i="1"/>
  <c r="E38" i="1"/>
  <c r="E37" i="1" s="1"/>
  <c r="E42" i="1"/>
  <c r="E41" i="1" s="1"/>
  <c r="E40" i="1" s="1"/>
  <c r="E47" i="1"/>
  <c r="E51" i="1"/>
  <c r="E50" i="1" s="1"/>
  <c r="E46" i="1" s="1"/>
  <c r="E55" i="1"/>
  <c r="E54" i="1" s="1"/>
  <c r="E53" i="1" s="1"/>
  <c r="E60" i="1"/>
  <c r="E62" i="1"/>
  <c r="E59" i="1" s="1"/>
  <c r="E58" i="1" s="1"/>
  <c r="E67" i="1"/>
  <c r="E66" i="1" s="1"/>
  <c r="E73" i="1"/>
  <c r="E72" i="1" s="1"/>
  <c r="E78" i="1"/>
  <c r="E77" i="1" s="1"/>
  <c r="E76" i="1" s="1"/>
  <c r="E81" i="1" s="1"/>
  <c r="E84" i="1"/>
  <c r="E83" i="1" s="1"/>
  <c r="E82" i="1" s="1"/>
  <c r="E86" i="1" s="1"/>
  <c r="E89" i="1"/>
  <c r="E92" i="1"/>
  <c r="D75" i="2" s="1"/>
  <c r="D74" i="2" s="1"/>
  <c r="E15" i="5"/>
  <c r="E14" i="5" s="1"/>
  <c r="E13" i="5" s="1"/>
  <c r="E87" i="5"/>
  <c r="E88" i="5"/>
  <c r="E90" i="5"/>
  <c r="E89" i="5" s="1"/>
  <c r="E92" i="5"/>
  <c r="E94" i="5"/>
  <c r="E93" i="5" s="1"/>
  <c r="E98" i="5"/>
  <c r="E97" i="5" s="1"/>
  <c r="E96" i="5" s="1"/>
  <c r="E95" i="5" s="1"/>
  <c r="E104" i="5"/>
  <c r="E105" i="5"/>
  <c r="D62" i="4" s="1"/>
  <c r="E108" i="5"/>
  <c r="D65" i="4" s="1"/>
  <c r="D64" i="4" s="1"/>
  <c r="E110" i="5"/>
  <c r="E113" i="5"/>
  <c r="D70" i="4" s="1"/>
  <c r="E114" i="5"/>
  <c r="D71" i="4" s="1"/>
  <c r="E115" i="5"/>
  <c r="D72" i="4" s="1"/>
  <c r="E116" i="5"/>
  <c r="D73" i="4" s="1"/>
  <c r="E117" i="5"/>
  <c r="E118" i="5"/>
  <c r="E121" i="5"/>
  <c r="E120" i="5" s="1"/>
  <c r="E123" i="5"/>
  <c r="D81" i="4" s="1"/>
  <c r="D80" i="4" s="1"/>
  <c r="E128" i="5"/>
  <c r="E131" i="5"/>
  <c r="E130" i="5" s="1"/>
  <c r="E133" i="5"/>
  <c r="D91" i="4" s="1"/>
  <c r="E136" i="5"/>
  <c r="E139" i="5"/>
  <c r="E140" i="5"/>
  <c r="D98" i="4" s="1"/>
  <c r="E141" i="5"/>
  <c r="D99" i="4" s="1"/>
  <c r="E142" i="5"/>
  <c r="D100" i="4" s="1"/>
  <c r="E145" i="5"/>
  <c r="E146" i="5"/>
  <c r="E147" i="5"/>
  <c r="D105" i="4" s="1"/>
  <c r="E149" i="5"/>
  <c r="D107" i="4" s="1"/>
  <c r="E150" i="5"/>
  <c r="D108" i="4" s="1"/>
  <c r="E151" i="5"/>
  <c r="E154" i="5"/>
  <c r="E155" i="5"/>
  <c r="D113" i="4" s="1"/>
  <c r="E156" i="5"/>
  <c r="D114" i="4" s="1"/>
  <c r="E157" i="5"/>
  <c r="D115" i="4" s="1"/>
  <c r="E159" i="5"/>
  <c r="E161" i="5"/>
  <c r="E164" i="5"/>
  <c r="E166" i="5"/>
  <c r="E168" i="5"/>
  <c r="E169" i="5"/>
  <c r="E170" i="5"/>
  <c r="E172" i="5"/>
  <c r="E174" i="5"/>
  <c r="D132" i="4" s="1"/>
  <c r="E175" i="5"/>
  <c r="D133" i="4" s="1"/>
  <c r="E176" i="5"/>
  <c r="D134" i="4" s="1"/>
  <c r="E177" i="5"/>
  <c r="D135" i="4" s="1"/>
  <c r="E179" i="5"/>
  <c r="D137" i="4" s="1"/>
  <c r="D136" i="4" s="1"/>
  <c r="E181" i="5"/>
  <c r="E180" i="5" s="1"/>
  <c r="E183" i="5"/>
  <c r="E184" i="5"/>
  <c r="D142" i="4" s="1"/>
  <c r="E185" i="5"/>
  <c r="E188" i="5"/>
  <c r="E187" i="5" s="1"/>
  <c r="E190" i="5"/>
  <c r="D148" i="4" s="1"/>
  <c r="E191" i="5"/>
  <c r="D149" i="4" s="1"/>
  <c r="E195" i="5"/>
  <c r="D153" i="4" s="1"/>
  <c r="D152" i="4" s="1"/>
  <c r="E198" i="5"/>
  <c r="E199" i="5"/>
  <c r="E202" i="5"/>
  <c r="E201" i="5" s="1"/>
  <c r="E204" i="5"/>
  <c r="E205" i="5"/>
  <c r="D163" i="4" s="1"/>
  <c r="E208" i="5"/>
  <c r="E207" i="5" s="1"/>
  <c r="E210" i="5"/>
  <c r="E212" i="5"/>
  <c r="D170" i="4" s="1"/>
  <c r="E213" i="5"/>
  <c r="D171" i="4" s="1"/>
  <c r="E215" i="5"/>
  <c r="D173" i="4" s="1"/>
  <c r="E217" i="5"/>
  <c r="E219" i="5"/>
  <c r="E220" i="5"/>
  <c r="D178" i="4" s="1"/>
  <c r="E224" i="5"/>
  <c r="D182" i="4" s="1"/>
  <c r="D181" i="4" s="1"/>
  <c r="E226" i="5"/>
  <c r="E227" i="5"/>
  <c r="D186" i="4" s="1"/>
  <c r="E228" i="5"/>
  <c r="D187" i="4" s="1"/>
  <c r="E229" i="5"/>
  <c r="D188" i="4" s="1"/>
  <c r="E231" i="5"/>
  <c r="D190" i="4" s="1"/>
  <c r="D189" i="4" s="1"/>
  <c r="E233" i="5"/>
  <c r="E232" i="5" s="1"/>
  <c r="E239" i="5"/>
  <c r="D198" i="4" s="1"/>
  <c r="E240" i="5"/>
  <c r="D199" i="4" s="1"/>
  <c r="E242" i="5"/>
  <c r="E248" i="5"/>
  <c r="D207" i="4" s="1"/>
  <c r="D206" i="4" s="1"/>
  <c r="D203" i="4" s="1"/>
  <c r="E254" i="5"/>
  <c r="E253" i="5" s="1"/>
  <c r="E250" i="5" s="1"/>
  <c r="E257" i="5"/>
  <c r="E259" i="5"/>
  <c r="E256" i="5" s="1"/>
  <c r="E264" i="5"/>
  <c r="E265" i="5"/>
  <c r="E266" i="5"/>
  <c r="D226" i="4" s="1"/>
  <c r="E269" i="5"/>
  <c r="E270" i="5"/>
  <c r="D230" i="4" s="1"/>
  <c r="E272" i="5"/>
  <c r="E273" i="5"/>
  <c r="D233" i="4" s="1"/>
  <c r="E275" i="5"/>
  <c r="E277" i="5"/>
  <c r="E280" i="5"/>
  <c r="E281" i="5"/>
  <c r="E286" i="5"/>
  <c r="E285" i="5" s="1"/>
  <c r="E284" i="5" s="1"/>
  <c r="E287" i="5"/>
  <c r="E294" i="5"/>
  <c r="E293" i="5" s="1"/>
  <c r="E298" i="5"/>
  <c r="E297" i="5" s="1"/>
  <c r="E301" i="5"/>
  <c r="E300" i="5" s="1"/>
  <c r="E299" i="5" s="1"/>
  <c r="E304" i="5"/>
  <c r="E303" i="5" s="1"/>
  <c r="E302" i="5" s="1"/>
  <c r="E308" i="5"/>
  <c r="E307" i="5" s="1"/>
  <c r="E310" i="5"/>
  <c r="E309" i="5" s="1"/>
  <c r="E312" i="5"/>
  <c r="E311" i="5" s="1"/>
  <c r="E316" i="5"/>
  <c r="E318" i="5"/>
  <c r="E321" i="5"/>
  <c r="E324" i="5"/>
  <c r="E323" i="5" s="1"/>
  <c r="E326" i="5"/>
  <c r="E325" i="5" s="1"/>
  <c r="E327" i="5"/>
  <c r="E332" i="5"/>
  <c r="E333" i="5"/>
  <c r="E339" i="5"/>
  <c r="E338" i="5" s="1"/>
  <c r="E341" i="5"/>
  <c r="E340" i="5" s="1"/>
  <c r="E344" i="5"/>
  <c r="E343" i="5" s="1"/>
  <c r="E347" i="5"/>
  <c r="E348" i="5"/>
  <c r="E352" i="5"/>
  <c r="E351" i="5" s="1"/>
  <c r="E354" i="5"/>
  <c r="E360" i="5"/>
  <c r="E359" i="5" s="1"/>
  <c r="E366" i="5"/>
  <c r="E365" i="5" s="1"/>
  <c r="E369" i="5"/>
  <c r="E371" i="5"/>
  <c r="E376" i="5"/>
  <c r="E375" i="5" s="1"/>
  <c r="E379" i="5"/>
  <c r="E383" i="5"/>
  <c r="E382" i="5" s="1"/>
  <c r="E386" i="5"/>
  <c r="E385" i="5" s="1"/>
  <c r="E390" i="5"/>
  <c r="E389" i="5" s="1"/>
  <c r="E391" i="5"/>
  <c r="E393" i="5"/>
  <c r="E399" i="5"/>
  <c r="E403" i="5"/>
  <c r="E402" i="5" s="1"/>
  <c r="E409" i="5"/>
  <c r="E408" i="5" s="1"/>
  <c r="E417" i="5"/>
  <c r="E419" i="5"/>
  <c r="E423" i="5"/>
  <c r="E424" i="5"/>
  <c r="E425" i="5"/>
  <c r="E431" i="5"/>
  <c r="E428" i="5" s="1"/>
  <c r="E435" i="5"/>
  <c r="E436" i="5"/>
  <c r="E440" i="5"/>
  <c r="E441" i="5"/>
  <c r="E444" i="5"/>
  <c r="E449" i="5"/>
  <c r="E450" i="5"/>
  <c r="E455" i="5"/>
  <c r="E451" i="5" s="1"/>
  <c r="E459" i="5"/>
  <c r="E470" i="5"/>
  <c r="E473" i="5"/>
  <c r="E475" i="5"/>
  <c r="E479" i="5"/>
  <c r="E483" i="5"/>
  <c r="E485" i="5"/>
  <c r="E490" i="5"/>
  <c r="E489" i="5" s="1"/>
  <c r="E488" i="5" s="1"/>
  <c r="E497" i="5"/>
  <c r="E498" i="5"/>
  <c r="E502" i="5"/>
  <c r="E501" i="5" s="1"/>
  <c r="E500" i="5" s="1"/>
  <c r="E505" i="5"/>
  <c r="E504" i="5" s="1"/>
  <c r="E503" i="5" s="1"/>
  <c r="E508" i="5"/>
  <c r="E507" i="5" s="1"/>
  <c r="E516" i="5"/>
  <c r="E515" i="5" s="1"/>
  <c r="E514" i="5" s="1"/>
  <c r="E513" i="5" s="1"/>
  <c r="E521" i="5"/>
  <c r="E520" i="5" s="1"/>
  <c r="E526" i="5"/>
  <c r="E531" i="5"/>
  <c r="E535" i="5"/>
  <c r="E534" i="5" s="1"/>
  <c r="E533" i="5" s="1"/>
  <c r="E536" i="5"/>
  <c r="E540" i="5"/>
  <c r="E539" i="5" s="1"/>
  <c r="E538" i="5" s="1"/>
  <c r="D237" i="4" l="1"/>
  <c r="H480" i="6"/>
  <c r="G480" i="6"/>
  <c r="H58" i="5"/>
  <c r="J59" i="5"/>
  <c r="I59" i="5"/>
  <c r="F440" i="6"/>
  <c r="H441" i="6"/>
  <c r="G441" i="6"/>
  <c r="F466" i="6"/>
  <c r="H474" i="6"/>
  <c r="G474" i="6"/>
  <c r="H638" i="6"/>
  <c r="G638" i="6"/>
  <c r="H491" i="6"/>
  <c r="G491" i="6"/>
  <c r="D162" i="4"/>
  <c r="D168" i="4"/>
  <c r="D167" i="4" s="1"/>
  <c r="E445" i="6"/>
  <c r="E160" i="5"/>
  <c r="D119" i="4"/>
  <c r="E158" i="5"/>
  <c r="D117" i="4"/>
  <c r="D116" i="4" s="1"/>
  <c r="E444" i="6"/>
  <c r="E443" i="6" s="1"/>
  <c r="F479" i="6"/>
  <c r="F445" i="6" s="1"/>
  <c r="D444" i="6"/>
  <c r="D443" i="6" s="1"/>
  <c r="D85" i="4"/>
  <c r="E12" i="5"/>
  <c r="D232" i="4"/>
  <c r="D231" i="4" s="1"/>
  <c r="D11" i="2"/>
  <c r="D109" i="4"/>
  <c r="D405" i="6"/>
  <c r="D404" i="6" s="1"/>
  <c r="D403" i="6" s="1"/>
  <c r="D103" i="4"/>
  <c r="C405" i="6"/>
  <c r="C404" i="6" s="1"/>
  <c r="C403" i="6" s="1"/>
  <c r="C444" i="6"/>
  <c r="C443" i="6" s="1"/>
  <c r="E58" i="5"/>
  <c r="D139" i="4"/>
  <c r="D138" i="4" s="1"/>
  <c r="E353" i="5"/>
  <c r="E349" i="5" s="1"/>
  <c r="D166" i="4"/>
  <c r="D165" i="4" s="1"/>
  <c r="C747" i="6"/>
  <c r="C311" i="6"/>
  <c r="E171" i="5"/>
  <c r="D130" i="4"/>
  <c r="D129" i="4" s="1"/>
  <c r="D97" i="4"/>
  <c r="C346" i="6"/>
  <c r="C192" i="6"/>
  <c r="C729" i="6"/>
  <c r="C363" i="6"/>
  <c r="C362" i="6" s="1"/>
  <c r="C361" i="6" s="1"/>
  <c r="C27" i="6"/>
  <c r="E368" i="5"/>
  <c r="E405" i="5"/>
  <c r="E404" i="5" s="1"/>
  <c r="D92" i="4"/>
  <c r="E218" i="5"/>
  <c r="E194" i="5"/>
  <c r="E193" i="5" s="1"/>
  <c r="E434" i="5"/>
  <c r="E433" i="5" s="1"/>
  <c r="E178" i="5"/>
  <c r="E530" i="5"/>
  <c r="E529" i="5" s="1"/>
  <c r="D86" i="4"/>
  <c r="E478" i="5"/>
  <c r="E283" i="5"/>
  <c r="E469" i="5"/>
  <c r="C555" i="6"/>
  <c r="C574" i="6"/>
  <c r="C699" i="6"/>
  <c r="C34" i="6"/>
  <c r="C33" i="6" s="1"/>
  <c r="C108" i="6"/>
  <c r="C70" i="6"/>
  <c r="C45" i="6"/>
  <c r="D235" i="4"/>
  <c r="D234" i="4" s="1"/>
  <c r="E334" i="5"/>
  <c r="E331" i="5" s="1"/>
  <c r="E329" i="5" s="1"/>
  <c r="C229" i="6"/>
  <c r="C226" i="6"/>
  <c r="E271" i="5"/>
  <c r="E230" i="5"/>
  <c r="E225" i="5"/>
  <c r="E223" i="5"/>
  <c r="E209" i="5"/>
  <c r="E186" i="5"/>
  <c r="D144" i="4" s="1"/>
  <c r="D131" i="4"/>
  <c r="E167" i="5"/>
  <c r="E143" i="5"/>
  <c r="D101" i="4" s="1"/>
  <c r="E129" i="5"/>
  <c r="D87" i="4" s="1"/>
  <c r="E107" i="5"/>
  <c r="D71" i="2"/>
  <c r="D70" i="2" s="1"/>
  <c r="G12" i="3" s="1"/>
  <c r="E91" i="1"/>
  <c r="E88" i="1"/>
  <c r="E87" i="1" s="1"/>
  <c r="E94" i="1" s="1"/>
  <c r="E75" i="1"/>
  <c r="D42" i="2"/>
  <c r="D41" i="2" s="1"/>
  <c r="D40" i="2" s="1"/>
  <c r="E36" i="1"/>
  <c r="E10" i="1"/>
  <c r="E9" i="1" s="1"/>
  <c r="E15" i="1" s="1"/>
  <c r="C201" i="6"/>
  <c r="C200" i="6" s="1"/>
  <c r="C215" i="6"/>
  <c r="C518" i="6"/>
  <c r="C510" i="6" s="1"/>
  <c r="C624" i="6"/>
  <c r="C690" i="6"/>
  <c r="C672" i="6"/>
  <c r="C671" i="6" s="1"/>
  <c r="E317" i="5"/>
  <c r="E152" i="5"/>
  <c r="D110" i="4" s="1"/>
  <c r="D160" i="4"/>
  <c r="D159" i="4" s="1"/>
  <c r="D61" i="4"/>
  <c r="D60" i="4" s="1"/>
  <c r="C711" i="6"/>
  <c r="C710" i="6" s="1"/>
  <c r="C709" i="6" s="1"/>
  <c r="C596" i="6"/>
  <c r="C529" i="6"/>
  <c r="C528" i="6" s="1"/>
  <c r="C527" i="6" s="1"/>
  <c r="C501" i="6"/>
  <c r="C235" i="6"/>
  <c r="C130" i="6"/>
  <c r="C129" i="6" s="1"/>
  <c r="E448" i="5"/>
  <c r="E447" i="5" s="1"/>
  <c r="E320" i="5"/>
  <c r="E247" i="5"/>
  <c r="E244" i="5" s="1"/>
  <c r="E241" i="5" s="1"/>
  <c r="D104" i="4"/>
  <c r="E122" i="5"/>
  <c r="E119" i="5" s="1"/>
  <c r="D224" i="4"/>
  <c r="D177" i="4"/>
  <c r="D176" i="4" s="1"/>
  <c r="D146" i="4"/>
  <c r="D145" i="4" s="1"/>
  <c r="C721" i="6"/>
  <c r="C300" i="6"/>
  <c r="C284" i="6"/>
  <c r="C280" i="6" s="1"/>
  <c r="D169" i="4"/>
  <c r="E398" i="5"/>
  <c r="C633" i="6"/>
  <c r="C612" i="6"/>
  <c r="C546" i="6"/>
  <c r="C171" i="6"/>
  <c r="C170" i="6" s="1"/>
  <c r="C149" i="6"/>
  <c r="E276" i="5"/>
  <c r="D236" i="4"/>
  <c r="D156" i="4"/>
  <c r="E197" i="5"/>
  <c r="E196" i="5" s="1"/>
  <c r="E109" i="5"/>
  <c r="D67" i="4"/>
  <c r="D66" i="4" s="1"/>
  <c r="E496" i="5"/>
  <c r="E495" i="5" s="1"/>
  <c r="E494" i="5" s="1"/>
  <c r="E493" i="5" s="1"/>
  <c r="E346" i="5"/>
  <c r="E345" i="5" s="1"/>
  <c r="E263" i="5"/>
  <c r="D197" i="4"/>
  <c r="D196" i="4" s="1"/>
  <c r="D195" i="4" s="1"/>
  <c r="E216" i="5"/>
  <c r="D175" i="4"/>
  <c r="D174" i="4" s="1"/>
  <c r="D143" i="4"/>
  <c r="D246" i="4"/>
  <c r="D245" i="4" s="1"/>
  <c r="D244" i="4" s="1"/>
  <c r="D243" i="4" s="1"/>
  <c r="E91" i="5"/>
  <c r="D185" i="4"/>
  <c r="D184" i="4" s="1"/>
  <c r="D180" i="4" s="1"/>
  <c r="D179" i="4" s="1"/>
  <c r="D118" i="4"/>
  <c r="D79" i="4"/>
  <c r="D78" i="4" s="1"/>
  <c r="D76" i="4" s="1"/>
  <c r="C587" i="6"/>
  <c r="C565" i="6"/>
  <c r="C164" i="6"/>
  <c r="E206" i="5"/>
  <c r="D164" i="4" s="1"/>
  <c r="E192" i="5"/>
  <c r="D150" i="4" s="1"/>
  <c r="D122" i="4"/>
  <c r="D126" i="4"/>
  <c r="E422" i="5"/>
  <c r="E421" i="5" s="1"/>
  <c r="E412" i="5"/>
  <c r="E315" i="5"/>
  <c r="E306" i="5"/>
  <c r="E274" i="5"/>
  <c r="E268" i="5"/>
  <c r="D112" i="4"/>
  <c r="D111" i="4" s="1"/>
  <c r="D89" i="4"/>
  <c r="D88" i="4" s="1"/>
  <c r="D75" i="4"/>
  <c r="C389" i="6"/>
  <c r="C388" i="6" s="1"/>
  <c r="C272" i="6"/>
  <c r="C10" i="6"/>
  <c r="D212" i="4"/>
  <c r="D211" i="4" s="1"/>
  <c r="D208" i="4" s="1"/>
  <c r="D200" i="4" s="1"/>
  <c r="E413" i="5"/>
  <c r="E292" i="5"/>
  <c r="E291" i="5" s="1"/>
  <c r="E279" i="5"/>
  <c r="E278" i="5" s="1"/>
  <c r="D240" i="4"/>
  <c r="D239" i="4" s="1"/>
  <c r="D238" i="4" s="1"/>
  <c r="D157" i="4"/>
  <c r="D124" i="4"/>
  <c r="E153" i="5"/>
  <c r="E135" i="5"/>
  <c r="D94" i="4"/>
  <c r="D93" i="4" s="1"/>
  <c r="D74" i="4"/>
  <c r="E112" i="5"/>
  <c r="E111" i="5" s="1"/>
  <c r="D127" i="4"/>
  <c r="D151" i="4"/>
  <c r="C738" i="6"/>
  <c r="C379" i="6"/>
  <c r="C378" i="6" s="1"/>
  <c r="E165" i="5"/>
  <c r="D123" i="4" s="1"/>
  <c r="D229" i="4"/>
  <c r="D228" i="4" s="1"/>
  <c r="E173" i="5"/>
  <c r="E144" i="5"/>
  <c r="E132" i="5"/>
  <c r="E103" i="5"/>
  <c r="E238" i="5"/>
  <c r="E237" i="5" s="1"/>
  <c r="E236" i="5" s="1"/>
  <c r="E211" i="5"/>
  <c r="E86" i="5"/>
  <c r="E51" i="5"/>
  <c r="D225" i="4"/>
  <c r="D48" i="2"/>
  <c r="D47" i="2" s="1"/>
  <c r="D33" i="2"/>
  <c r="D58" i="2"/>
  <c r="D57" i="2" s="1"/>
  <c r="E57" i="1"/>
  <c r="E518" i="5"/>
  <c r="E519" i="5"/>
  <c r="E381" i="5"/>
  <c r="E378" i="5" s="1"/>
  <c r="E374" i="5" s="1"/>
  <c r="E506" i="5"/>
  <c r="H445" i="6" l="1"/>
  <c r="G445" i="6"/>
  <c r="J58" i="5"/>
  <c r="I58" i="5"/>
  <c r="F439" i="6"/>
  <c r="H440" i="6"/>
  <c r="G440" i="6"/>
  <c r="H479" i="6"/>
  <c r="G479" i="6"/>
  <c r="H466" i="6"/>
  <c r="G466" i="6"/>
  <c r="E48" i="5"/>
  <c r="F444" i="6"/>
  <c r="C299" i="6"/>
  <c r="C298" i="6" s="1"/>
  <c r="C689" i="6"/>
  <c r="C688" i="6" s="1"/>
  <c r="C223" i="6"/>
  <c r="C214" i="6" s="1"/>
  <c r="C199" i="6" s="1"/>
  <c r="E468" i="5"/>
  <c r="E492" i="5" s="1"/>
  <c r="E397" i="5"/>
  <c r="D10" i="2"/>
  <c r="C564" i="6"/>
  <c r="C563" i="6" s="1"/>
  <c r="C562" i="6" s="1"/>
  <c r="C9" i="6"/>
  <c r="C377" i="6"/>
  <c r="C545" i="6"/>
  <c r="C544" i="6" s="1"/>
  <c r="C543" i="6" s="1"/>
  <c r="D128" i="4"/>
  <c r="D125" i="4" s="1"/>
  <c r="E126" i="5"/>
  <c r="E125" i="5" s="1"/>
  <c r="D84" i="4"/>
  <c r="D96" i="4"/>
  <c r="E102" i="5"/>
  <c r="E101" i="5" s="1"/>
  <c r="E138" i="5"/>
  <c r="E222" i="5"/>
  <c r="E221" i="5" s="1"/>
  <c r="E542" i="5"/>
  <c r="D223" i="4"/>
  <c r="D222" i="4" s="1"/>
  <c r="D219" i="4" s="1"/>
  <c r="D213" i="4" s="1"/>
  <c r="G15" i="3" s="1"/>
  <c r="E182" i="5"/>
  <c r="D140" i="4"/>
  <c r="C586" i="6"/>
  <c r="C670" i="6"/>
  <c r="E517" i="5"/>
  <c r="C32" i="6"/>
  <c r="C623" i="6"/>
  <c r="C611" i="6" s="1"/>
  <c r="C610" i="6" s="1"/>
  <c r="C609" i="6" s="1"/>
  <c r="C500" i="6"/>
  <c r="C499" i="6" s="1"/>
  <c r="E148" i="5"/>
  <c r="D59" i="4"/>
  <c r="D106" i="4"/>
  <c r="C728" i="6"/>
  <c r="C720" i="6" s="1"/>
  <c r="C719" i="6" s="1"/>
  <c r="C718" i="6" s="1"/>
  <c r="E262" i="5"/>
  <c r="E261" i="5" s="1"/>
  <c r="E255" i="5" s="1"/>
  <c r="E314" i="5"/>
  <c r="E305" i="5" s="1"/>
  <c r="E290" i="5" s="1"/>
  <c r="D90" i="4"/>
  <c r="E85" i="5"/>
  <c r="E84" i="5" s="1"/>
  <c r="E83" i="5" s="1"/>
  <c r="D102" i="4"/>
  <c r="D155" i="4"/>
  <c r="D154" i="4" s="1"/>
  <c r="D161" i="4"/>
  <c r="D158" i="4" s="1"/>
  <c r="E411" i="5"/>
  <c r="D121" i="4"/>
  <c r="C163" i="6"/>
  <c r="C796" i="6" s="1"/>
  <c r="E203" i="5"/>
  <c r="E200" i="5" s="1"/>
  <c r="D69" i="4"/>
  <c r="D68" i="4" s="1"/>
  <c r="E163" i="5"/>
  <c r="D147" i="4"/>
  <c r="E189" i="5"/>
  <c r="F443" i="6" l="1"/>
  <c r="H444" i="6"/>
  <c r="G444" i="6"/>
  <c r="F438" i="6"/>
  <c r="H439" i="6"/>
  <c r="G439" i="6"/>
  <c r="E23" i="5"/>
  <c r="E11" i="5" s="1"/>
  <c r="E99" i="5" s="1"/>
  <c r="C585" i="6"/>
  <c r="C584" i="6" s="1"/>
  <c r="C687" i="6"/>
  <c r="C669" i="6" s="1"/>
  <c r="E9" i="5"/>
  <c r="E396" i="5"/>
  <c r="E467" i="5" s="1"/>
  <c r="C8" i="6"/>
  <c r="C795" i="6" s="1"/>
  <c r="E137" i="5"/>
  <c r="C198" i="6"/>
  <c r="E395" i="5"/>
  <c r="D58" i="4"/>
  <c r="C498" i="6"/>
  <c r="D95" i="4"/>
  <c r="E162" i="5"/>
  <c r="D77" i="2"/>
  <c r="G11" i="3"/>
  <c r="G10" i="3" s="1"/>
  <c r="D83" i="4"/>
  <c r="D120" i="4"/>
  <c r="F401" i="6"/>
  <c r="E401" i="6"/>
  <c r="E400" i="6" s="1"/>
  <c r="E399" i="6" s="1"/>
  <c r="E398" i="6" s="1"/>
  <c r="E397" i="6" s="1"/>
  <c r="G30" i="5"/>
  <c r="G29" i="5" s="1"/>
  <c r="F427" i="6"/>
  <c r="E427" i="6"/>
  <c r="E426" i="6" s="1"/>
  <c r="F423" i="6"/>
  <c r="E423" i="6"/>
  <c r="F421" i="6"/>
  <c r="E421" i="6"/>
  <c r="F419" i="6"/>
  <c r="E419" i="6"/>
  <c r="F417" i="6"/>
  <c r="E417" i="6"/>
  <c r="F412" i="6"/>
  <c r="E412" i="6"/>
  <c r="F407" i="6"/>
  <c r="E407" i="6"/>
  <c r="D502" i="6"/>
  <c r="E502" i="6"/>
  <c r="F502" i="6"/>
  <c r="H401" i="6" l="1"/>
  <c r="G401" i="6"/>
  <c r="H502" i="6"/>
  <c r="G502" i="6"/>
  <c r="H407" i="6"/>
  <c r="G407" i="6"/>
  <c r="H417" i="6"/>
  <c r="G417" i="6"/>
  <c r="H421" i="6"/>
  <c r="G421" i="6"/>
  <c r="H427" i="6"/>
  <c r="G427" i="6"/>
  <c r="H438" i="6"/>
  <c r="G438" i="6"/>
  <c r="F437" i="6"/>
  <c r="H412" i="6"/>
  <c r="G412" i="6"/>
  <c r="H419" i="6"/>
  <c r="G419" i="6"/>
  <c r="H423" i="6"/>
  <c r="G423" i="6"/>
  <c r="H443" i="6"/>
  <c r="G443" i="6"/>
  <c r="H49" i="5"/>
  <c r="H30" i="5"/>
  <c r="F406" i="6"/>
  <c r="E406" i="6"/>
  <c r="C7" i="6"/>
  <c r="C6" i="6" s="1"/>
  <c r="C797" i="6"/>
  <c r="E124" i="5"/>
  <c r="E100" i="5" s="1"/>
  <c r="E8" i="5" s="1"/>
  <c r="F400" i="6"/>
  <c r="D82" i="4"/>
  <c r="D57" i="4" s="1"/>
  <c r="D249" i="4" s="1"/>
  <c r="B10" i="8" s="1"/>
  <c r="G70" i="5"/>
  <c r="G69" i="5" s="1"/>
  <c r="H70" i="5"/>
  <c r="E416" i="6"/>
  <c r="F416" i="6"/>
  <c r="F426" i="6"/>
  <c r="H535" i="5"/>
  <c r="H528" i="5"/>
  <c r="F38" i="6"/>
  <c r="F209" i="4"/>
  <c r="G252" i="5"/>
  <c r="G251" i="5" s="1"/>
  <c r="H252" i="5"/>
  <c r="F159" i="6"/>
  <c r="E159" i="6"/>
  <c r="F85" i="6"/>
  <c r="F65" i="6"/>
  <c r="F759" i="6"/>
  <c r="F756" i="6"/>
  <c r="F754" i="6"/>
  <c r="F748" i="6"/>
  <c r="F743" i="6"/>
  <c r="F739" i="6"/>
  <c r="F736" i="6"/>
  <c r="F730" i="6"/>
  <c r="J49" i="5" l="1"/>
  <c r="I49" i="5"/>
  <c r="H65" i="6"/>
  <c r="H251" i="5"/>
  <c r="J252" i="5"/>
  <c r="I252" i="5"/>
  <c r="J528" i="5"/>
  <c r="I528" i="5"/>
  <c r="H400" i="6"/>
  <c r="G400" i="6"/>
  <c r="H437" i="6"/>
  <c r="G437" i="6"/>
  <c r="H416" i="6"/>
  <c r="G416" i="6"/>
  <c r="H406" i="6"/>
  <c r="G406" i="6"/>
  <c r="F758" i="6"/>
  <c r="H159" i="6"/>
  <c r="G159" i="6"/>
  <c r="H85" i="6"/>
  <c r="I70" i="5"/>
  <c r="J70" i="5"/>
  <c r="H426" i="6"/>
  <c r="G426" i="6"/>
  <c r="H29" i="5"/>
  <c r="J30" i="5"/>
  <c r="I30" i="5"/>
  <c r="E543" i="5"/>
  <c r="F405" i="6"/>
  <c r="E405" i="6"/>
  <c r="E404" i="6" s="1"/>
  <c r="E403" i="6" s="1"/>
  <c r="F747" i="6"/>
  <c r="E289" i="5"/>
  <c r="F399" i="6"/>
  <c r="B13" i="8"/>
  <c r="B14" i="8"/>
  <c r="B15" i="8"/>
  <c r="H69" i="5"/>
  <c r="G14" i="3"/>
  <c r="G13" i="3" s="1"/>
  <c r="G16" i="3" s="1"/>
  <c r="G28" i="3" s="1"/>
  <c r="F40" i="6"/>
  <c r="F34" i="6"/>
  <c r="F56" i="6"/>
  <c r="G210" i="4"/>
  <c r="G209" i="4" s="1"/>
  <c r="F738" i="6"/>
  <c r="J69" i="5" l="1"/>
  <c r="I69" i="5"/>
  <c r="H399" i="6"/>
  <c r="G399" i="6"/>
  <c r="F404" i="6"/>
  <c r="H405" i="6"/>
  <c r="G405" i="6"/>
  <c r="J29" i="5"/>
  <c r="I29" i="5"/>
  <c r="J27" i="3"/>
  <c r="I27" i="3"/>
  <c r="H27" i="3"/>
  <c r="J251" i="5"/>
  <c r="I251" i="5"/>
  <c r="F398" i="6"/>
  <c r="B12" i="8"/>
  <c r="B11" i="8" s="1"/>
  <c r="G436" i="5"/>
  <c r="H436" i="5"/>
  <c r="F436" i="5"/>
  <c r="G435" i="5"/>
  <c r="H435" i="5"/>
  <c r="F435" i="5"/>
  <c r="F455" i="5"/>
  <c r="H455" i="5"/>
  <c r="G455" i="5"/>
  <c r="G440" i="5"/>
  <c r="H440" i="5"/>
  <c r="F440" i="5"/>
  <c r="G431" i="5"/>
  <c r="H431" i="5"/>
  <c r="F431" i="5"/>
  <c r="G424" i="5"/>
  <c r="H424" i="5"/>
  <c r="F424" i="5"/>
  <c r="G423" i="5"/>
  <c r="H423" i="5"/>
  <c r="F423" i="5"/>
  <c r="G450" i="5"/>
  <c r="H450" i="5"/>
  <c r="F450" i="5"/>
  <c r="G449" i="5"/>
  <c r="H449" i="5"/>
  <c r="F449" i="5"/>
  <c r="G348" i="5"/>
  <c r="H348" i="5"/>
  <c r="F348" i="5"/>
  <c r="G347" i="5"/>
  <c r="H347" i="5"/>
  <c r="F347" i="5"/>
  <c r="G198" i="5"/>
  <c r="H198" i="5"/>
  <c r="G199" i="5"/>
  <c r="H199" i="5"/>
  <c r="F199" i="5"/>
  <c r="F198" i="5"/>
  <c r="D100" i="6"/>
  <c r="G100" i="6" s="1"/>
  <c r="E756" i="6"/>
  <c r="H756" i="6" s="1"/>
  <c r="D756" i="6"/>
  <c r="G756" i="6" s="1"/>
  <c r="E736" i="6"/>
  <c r="H736" i="6" s="1"/>
  <c r="D736" i="6"/>
  <c r="G736" i="6" s="1"/>
  <c r="E730" i="6"/>
  <c r="H730" i="6" s="1"/>
  <c r="E759" i="6"/>
  <c r="D759" i="6"/>
  <c r="E748" i="6"/>
  <c r="H748" i="6" s="1"/>
  <c r="D748" i="6"/>
  <c r="G748" i="6" s="1"/>
  <c r="E739" i="6"/>
  <c r="H739" i="6" s="1"/>
  <c r="D739" i="6"/>
  <c r="G739" i="6" s="1"/>
  <c r="F734" i="6"/>
  <c r="E734" i="6"/>
  <c r="D734" i="6"/>
  <c r="D730" i="6"/>
  <c r="G730" i="6" s="1"/>
  <c r="E333" i="6"/>
  <c r="E332" i="6" s="1"/>
  <c r="F333" i="6"/>
  <c r="D333" i="6"/>
  <c r="D332" i="6" s="1"/>
  <c r="E323" i="6"/>
  <c r="F323" i="6"/>
  <c r="D323" i="6"/>
  <c r="D322" i="6" s="1"/>
  <c r="E313" i="6"/>
  <c r="E252" i="6"/>
  <c r="E251" i="6" s="1"/>
  <c r="F252" i="6"/>
  <c r="D252" i="6"/>
  <c r="D251" i="6" s="1"/>
  <c r="D105" i="6"/>
  <c r="D104" i="6" s="1"/>
  <c r="F105" i="6"/>
  <c r="E105" i="6"/>
  <c r="E104" i="6" s="1"/>
  <c r="F508" i="5"/>
  <c r="E348" i="6"/>
  <c r="F348" i="6"/>
  <c r="D348" i="6"/>
  <c r="F425" i="5"/>
  <c r="G425" i="5"/>
  <c r="H425" i="5"/>
  <c r="F44" i="2"/>
  <c r="G44" i="2"/>
  <c r="E44" i="2"/>
  <c r="H42" i="1"/>
  <c r="F84" i="6"/>
  <c r="F55" i="6"/>
  <c r="F18" i="6"/>
  <c r="F148" i="6"/>
  <c r="F140" i="6"/>
  <c r="F138" i="6"/>
  <c r="F135" i="6"/>
  <c r="F136" i="6"/>
  <c r="F120" i="6"/>
  <c r="F99" i="6"/>
  <c r="F46" i="6"/>
  <c r="F212" i="6"/>
  <c r="L27" i="3" l="1"/>
  <c r="H140" i="6"/>
  <c r="G140" i="6"/>
  <c r="F81" i="6"/>
  <c r="H84" i="6"/>
  <c r="G84" i="6"/>
  <c r="J347" i="5"/>
  <c r="I347" i="5"/>
  <c r="J423" i="5"/>
  <c r="I423" i="5"/>
  <c r="H136" i="6"/>
  <c r="G136" i="6"/>
  <c r="H148" i="6"/>
  <c r="G148" i="6"/>
  <c r="J425" i="5"/>
  <c r="I425" i="5"/>
  <c r="H348" i="6"/>
  <c r="G348" i="6"/>
  <c r="F104" i="6"/>
  <c r="H105" i="6"/>
  <c r="G105" i="6"/>
  <c r="D758" i="6"/>
  <c r="G758" i="6" s="1"/>
  <c r="G759" i="6"/>
  <c r="J198" i="5"/>
  <c r="I198" i="5"/>
  <c r="J450" i="5"/>
  <c r="I450" i="5"/>
  <c r="J440" i="5"/>
  <c r="I440" i="5"/>
  <c r="H398" i="6"/>
  <c r="G398" i="6"/>
  <c r="F403" i="6"/>
  <c r="H404" i="6"/>
  <c r="G404" i="6"/>
  <c r="H18" i="6"/>
  <c r="G18" i="6"/>
  <c r="E758" i="6"/>
  <c r="H758" i="6" s="1"/>
  <c r="H759" i="6"/>
  <c r="J449" i="5"/>
  <c r="I449" i="5"/>
  <c r="J431" i="5"/>
  <c r="I431" i="5"/>
  <c r="I436" i="5"/>
  <c r="J436" i="5"/>
  <c r="K27" i="3"/>
  <c r="H120" i="6"/>
  <c r="G120" i="6"/>
  <c r="F251" i="6"/>
  <c r="H252" i="6"/>
  <c r="G252" i="6"/>
  <c r="H323" i="6"/>
  <c r="G323" i="6"/>
  <c r="H734" i="6"/>
  <c r="G734" i="6"/>
  <c r="J455" i="5"/>
  <c r="I455" i="5"/>
  <c r="H135" i="6"/>
  <c r="G135" i="6"/>
  <c r="H99" i="6"/>
  <c r="G99" i="6"/>
  <c r="H138" i="6"/>
  <c r="H55" i="6"/>
  <c r="F332" i="6"/>
  <c r="H333" i="6"/>
  <c r="G333" i="6"/>
  <c r="J199" i="5"/>
  <c r="I199" i="5"/>
  <c r="J348" i="5"/>
  <c r="I348" i="5"/>
  <c r="J424" i="5"/>
  <c r="I424" i="5"/>
  <c r="J435" i="5"/>
  <c r="I435" i="5"/>
  <c r="F397" i="6"/>
  <c r="F156" i="4"/>
  <c r="G157" i="4"/>
  <c r="F157" i="4"/>
  <c r="G156" i="4"/>
  <c r="E156" i="4"/>
  <c r="F346" i="5"/>
  <c r="F345" i="5" s="1"/>
  <c r="E157" i="4"/>
  <c r="H448" i="5"/>
  <c r="G434" i="5"/>
  <c r="E729" i="6"/>
  <c r="F434" i="5"/>
  <c r="F729" i="6"/>
  <c r="H413" i="5"/>
  <c r="H434" i="5"/>
  <c r="F422" i="5"/>
  <c r="G422" i="5"/>
  <c r="G346" i="5"/>
  <c r="G345" i="5" s="1"/>
  <c r="G448" i="5"/>
  <c r="G447" i="5" s="1"/>
  <c r="G197" i="5"/>
  <c r="G196" i="5" s="1"/>
  <c r="F448" i="5"/>
  <c r="F197" i="5"/>
  <c r="F196" i="5" s="1"/>
  <c r="H197" i="5"/>
  <c r="H346" i="5"/>
  <c r="E76" i="2"/>
  <c r="F76" i="2"/>
  <c r="F75" i="2" s="1"/>
  <c r="G76" i="2"/>
  <c r="G75" i="2" s="1"/>
  <c r="G92" i="1"/>
  <c r="H92" i="1"/>
  <c r="F92" i="1"/>
  <c r="F428" i="5"/>
  <c r="F413" i="5"/>
  <c r="G505" i="5"/>
  <c r="G504" i="5" s="1"/>
  <c r="G503" i="5" s="1"/>
  <c r="H505" i="5"/>
  <c r="F505" i="5"/>
  <c r="F504" i="5" s="1"/>
  <c r="F503" i="5" s="1"/>
  <c r="G502" i="5"/>
  <c r="G501" i="5" s="1"/>
  <c r="G500" i="5" s="1"/>
  <c r="H502" i="5"/>
  <c r="F502" i="5"/>
  <c r="F501" i="5" s="1"/>
  <c r="F500" i="5" s="1"/>
  <c r="G516" i="5"/>
  <c r="G515" i="5" s="1"/>
  <c r="G514" i="5" s="1"/>
  <c r="G513" i="5" s="1"/>
  <c r="H516" i="5"/>
  <c r="F516" i="5"/>
  <c r="F515" i="5" s="1"/>
  <c r="F514" i="5" s="1"/>
  <c r="F540" i="5"/>
  <c r="F539" i="5" s="1"/>
  <c r="F538" i="5" s="1"/>
  <c r="E793" i="6"/>
  <c r="E792" i="6" s="1"/>
  <c r="E791" i="6" s="1"/>
  <c r="E790" i="6" s="1"/>
  <c r="E781" i="6" s="1"/>
  <c r="E780" i="6" s="1"/>
  <c r="F793" i="6"/>
  <c r="D793" i="6"/>
  <c r="D792" i="6" s="1"/>
  <c r="D791" i="6" s="1"/>
  <c r="D790" i="6" s="1"/>
  <c r="D781" i="6" s="1"/>
  <c r="D780" i="6" s="1"/>
  <c r="H541" i="5"/>
  <c r="G524" i="5"/>
  <c r="H525" i="5"/>
  <c r="F524" i="5"/>
  <c r="F523" i="5" s="1"/>
  <c r="G521" i="5"/>
  <c r="G520" i="5" s="1"/>
  <c r="H522" i="5"/>
  <c r="F521" i="5"/>
  <c r="F520" i="5" s="1"/>
  <c r="D723" i="6"/>
  <c r="D722" i="6" s="1"/>
  <c r="D726" i="6"/>
  <c r="D729" i="6"/>
  <c r="D743" i="6"/>
  <c r="G743" i="6" s="1"/>
  <c r="D754" i="6"/>
  <c r="E202" i="6"/>
  <c r="D747" i="6" l="1"/>
  <c r="G747" i="6" s="1"/>
  <c r="G754" i="6"/>
  <c r="F728" i="6"/>
  <c r="H729" i="6"/>
  <c r="G729" i="6"/>
  <c r="H397" i="6"/>
  <c r="G397" i="6"/>
  <c r="H332" i="6"/>
  <c r="G332" i="6"/>
  <c r="H524" i="5"/>
  <c r="J525" i="5"/>
  <c r="I525" i="5"/>
  <c r="F792" i="6"/>
  <c r="H793" i="6"/>
  <c r="G793" i="6"/>
  <c r="J516" i="5"/>
  <c r="I516" i="5"/>
  <c r="I346" i="5"/>
  <c r="J346" i="5"/>
  <c r="H501" i="5"/>
  <c r="J502" i="5"/>
  <c r="I502" i="5"/>
  <c r="H104" i="6"/>
  <c r="G104" i="6"/>
  <c r="J522" i="5"/>
  <c r="I522" i="5"/>
  <c r="H196" i="5"/>
  <c r="J197" i="5"/>
  <c r="I197" i="5"/>
  <c r="J434" i="5"/>
  <c r="I434" i="5"/>
  <c r="J448" i="5"/>
  <c r="I448" i="5"/>
  <c r="H540" i="5"/>
  <c r="J541" i="5"/>
  <c r="I541" i="5"/>
  <c r="H504" i="5"/>
  <c r="J505" i="5"/>
  <c r="I505" i="5"/>
  <c r="I413" i="5"/>
  <c r="H251" i="6"/>
  <c r="G251" i="6"/>
  <c r="H403" i="6"/>
  <c r="G403" i="6"/>
  <c r="H447" i="5"/>
  <c r="G155" i="4"/>
  <c r="G154" i="4" s="1"/>
  <c r="F155" i="4"/>
  <c r="F154" i="4" s="1"/>
  <c r="E155" i="4"/>
  <c r="E154" i="4" s="1"/>
  <c r="F421" i="5"/>
  <c r="F447" i="5"/>
  <c r="H345" i="5"/>
  <c r="D738" i="6"/>
  <c r="H515" i="5"/>
  <c r="F513" i="5"/>
  <c r="G540" i="5"/>
  <c r="G539" i="5" s="1"/>
  <c r="G538" i="5" s="1"/>
  <c r="H521" i="5"/>
  <c r="D721" i="6"/>
  <c r="F249" i="6"/>
  <c r="G427" i="5"/>
  <c r="G426" i="5" s="1"/>
  <c r="H427" i="5"/>
  <c r="G429" i="5"/>
  <c r="G430" i="5"/>
  <c r="H430" i="5"/>
  <c r="H429" i="5"/>
  <c r="G445" i="5"/>
  <c r="H445" i="5"/>
  <c r="G439" i="5"/>
  <c r="H439" i="5"/>
  <c r="G453" i="5"/>
  <c r="G452" i="5" s="1"/>
  <c r="H453" i="5"/>
  <c r="H458" i="5"/>
  <c r="G457" i="5"/>
  <c r="G454" i="5"/>
  <c r="G451" i="5" s="1"/>
  <c r="J453" i="5" l="1"/>
  <c r="I453" i="5"/>
  <c r="J445" i="5"/>
  <c r="I445" i="5"/>
  <c r="H500" i="5"/>
  <c r="J501" i="5"/>
  <c r="I501" i="5"/>
  <c r="J524" i="5"/>
  <c r="I524" i="5"/>
  <c r="I430" i="5"/>
  <c r="J430" i="5"/>
  <c r="J345" i="5"/>
  <c r="I345" i="5"/>
  <c r="H503" i="5"/>
  <c r="J504" i="5"/>
  <c r="I504" i="5"/>
  <c r="I515" i="5"/>
  <c r="J515" i="5"/>
  <c r="J196" i="5"/>
  <c r="I196" i="5"/>
  <c r="F791" i="6"/>
  <c r="H792" i="6"/>
  <c r="G792" i="6"/>
  <c r="J458" i="5"/>
  <c r="I458" i="5"/>
  <c r="J439" i="5"/>
  <c r="I439" i="5"/>
  <c r="J429" i="5"/>
  <c r="I429" i="5"/>
  <c r="J427" i="5"/>
  <c r="I427" i="5"/>
  <c r="H520" i="5"/>
  <c r="J521" i="5"/>
  <c r="I521" i="5"/>
  <c r="D728" i="6"/>
  <c r="D720" i="6" s="1"/>
  <c r="D719" i="6" s="1"/>
  <c r="D718" i="6" s="1"/>
  <c r="G738" i="6"/>
  <c r="J447" i="5"/>
  <c r="I447" i="5"/>
  <c r="H539" i="5"/>
  <c r="J540" i="5"/>
  <c r="I540" i="5"/>
  <c r="H452" i="5"/>
  <c r="H426" i="5"/>
  <c r="H457" i="5"/>
  <c r="H422" i="5"/>
  <c r="H514" i="5"/>
  <c r="H454" i="5"/>
  <c r="F61" i="6"/>
  <c r="H444" i="5"/>
  <c r="I503" i="5" l="1"/>
  <c r="J503" i="5"/>
  <c r="J426" i="5"/>
  <c r="I426" i="5"/>
  <c r="H791" i="6"/>
  <c r="G791" i="6"/>
  <c r="F790" i="6"/>
  <c r="G728" i="6"/>
  <c r="J520" i="5"/>
  <c r="I520" i="5"/>
  <c r="I452" i="5"/>
  <c r="J452" i="5"/>
  <c r="J514" i="5"/>
  <c r="I514" i="5"/>
  <c r="J457" i="5"/>
  <c r="I457" i="5"/>
  <c r="J422" i="5"/>
  <c r="I422" i="5"/>
  <c r="H538" i="5"/>
  <c r="I539" i="5"/>
  <c r="J539" i="5"/>
  <c r="H451" i="5"/>
  <c r="I454" i="5"/>
  <c r="J454" i="5"/>
  <c r="J500" i="5"/>
  <c r="I500" i="5"/>
  <c r="H513" i="5"/>
  <c r="E341" i="6"/>
  <c r="E337" i="6"/>
  <c r="F341" i="6"/>
  <c r="F337" i="6"/>
  <c r="E327" i="6"/>
  <c r="F327" i="6"/>
  <c r="E325" i="6"/>
  <c r="F325" i="6"/>
  <c r="F313" i="6"/>
  <c r="F316" i="6"/>
  <c r="E316" i="6"/>
  <c r="F318" i="6"/>
  <c r="E318" i="6"/>
  <c r="H337" i="6" l="1"/>
  <c r="G337" i="6"/>
  <c r="J513" i="5"/>
  <c r="I513" i="5"/>
  <c r="H341" i="6"/>
  <c r="G341" i="6"/>
  <c r="J538" i="5"/>
  <c r="I538" i="5"/>
  <c r="F322" i="6"/>
  <c r="H325" i="6"/>
  <c r="G325" i="6"/>
  <c r="H327" i="6"/>
  <c r="G327" i="6"/>
  <c r="J451" i="5"/>
  <c r="H318" i="6"/>
  <c r="G318" i="6"/>
  <c r="H316" i="6"/>
  <c r="G316" i="6"/>
  <c r="H313" i="6"/>
  <c r="G313" i="6"/>
  <c r="H790" i="6"/>
  <c r="G790" i="6"/>
  <c r="F781" i="6"/>
  <c r="E336" i="6"/>
  <c r="E322" i="6"/>
  <c r="F336" i="6"/>
  <c r="F312" i="6"/>
  <c r="E312" i="6"/>
  <c r="H781" i="6" l="1"/>
  <c r="G781" i="6"/>
  <c r="F780" i="6"/>
  <c r="H312" i="6"/>
  <c r="H336" i="6"/>
  <c r="G336" i="6"/>
  <c r="H322" i="6"/>
  <c r="G322" i="6"/>
  <c r="F311" i="6"/>
  <c r="E311" i="6"/>
  <c r="G444" i="5"/>
  <c r="J444" i="5" s="1"/>
  <c r="H780" i="6" l="1"/>
  <c r="G780" i="6"/>
  <c r="H311" i="6"/>
  <c r="G16" i="2"/>
  <c r="F16" i="2"/>
  <c r="H18" i="1"/>
  <c r="H17" i="1" s="1"/>
  <c r="G18" i="1"/>
  <c r="F60" i="2"/>
  <c r="F59" i="2" s="1"/>
  <c r="F62" i="2"/>
  <c r="F61" i="2" s="1"/>
  <c r="F65" i="2"/>
  <c r="F64" i="2" s="1"/>
  <c r="F63" i="2" s="1"/>
  <c r="F69" i="2"/>
  <c r="F68" i="2" s="1"/>
  <c r="F67" i="2" s="1"/>
  <c r="F66" i="2" s="1"/>
  <c r="F72" i="2"/>
  <c r="F74" i="2"/>
  <c r="F71" i="2" s="1"/>
  <c r="F49" i="2"/>
  <c r="F51" i="2"/>
  <c r="F50" i="2" s="1"/>
  <c r="F55" i="2"/>
  <c r="F54" i="2" s="1"/>
  <c r="F56" i="2"/>
  <c r="F43" i="2"/>
  <c r="F45" i="2"/>
  <c r="F46" i="2"/>
  <c r="F24" i="2"/>
  <c r="F29" i="2"/>
  <c r="F28" i="2" s="1"/>
  <c r="G26" i="2"/>
  <c r="G25" i="2" s="1"/>
  <c r="F26" i="2"/>
  <c r="F25" i="2" s="1"/>
  <c r="H28" i="1"/>
  <c r="H26" i="1"/>
  <c r="H25" i="1" s="1"/>
  <c r="G28" i="1"/>
  <c r="F28" i="1"/>
  <c r="H11" i="1"/>
  <c r="H13" i="1"/>
  <c r="F723" i="6"/>
  <c r="E723" i="6"/>
  <c r="G441" i="5"/>
  <c r="G433" i="5" s="1"/>
  <c r="G413" i="5"/>
  <c r="J413" i="5" s="1"/>
  <c r="F722" i="6" l="1"/>
  <c r="H723" i="6"/>
  <c r="G723" i="6"/>
  <c r="F48" i="2"/>
  <c r="H428" i="5"/>
  <c r="G428" i="5"/>
  <c r="G421" i="5" s="1"/>
  <c r="F42" i="2"/>
  <c r="F41" i="2" s="1"/>
  <c r="F40" i="2" s="1"/>
  <c r="F58" i="2"/>
  <c r="F57" i="2" s="1"/>
  <c r="F53" i="2"/>
  <c r="F70" i="2"/>
  <c r="I12" i="3" s="1"/>
  <c r="H10" i="1"/>
  <c r="H9" i="1" s="1"/>
  <c r="J428" i="5" l="1"/>
  <c r="I428" i="5"/>
  <c r="G722" i="6"/>
  <c r="H421" i="5"/>
  <c r="F47" i="2"/>
  <c r="E743" i="6"/>
  <c r="H743" i="6" s="1"/>
  <c r="E726" i="6"/>
  <c r="E722" i="6"/>
  <c r="H722" i="6" s="1"/>
  <c r="E754" i="6"/>
  <c r="E747" i="6" l="1"/>
  <c r="H747" i="6" s="1"/>
  <c r="H754" i="6"/>
  <c r="J421" i="5"/>
  <c r="I421" i="5"/>
  <c r="E738" i="6"/>
  <c r="H738" i="6" s="1"/>
  <c r="E721" i="6"/>
  <c r="H527" i="5"/>
  <c r="D386" i="6"/>
  <c r="D385" i="6" s="1"/>
  <c r="E386" i="6"/>
  <c r="E385" i="6" s="1"/>
  <c r="F386" i="6"/>
  <c r="D16" i="8"/>
  <c r="H526" i="5" l="1"/>
  <c r="I527" i="5"/>
  <c r="J527" i="5"/>
  <c r="H386" i="6"/>
  <c r="G386" i="6"/>
  <c r="E728" i="6"/>
  <c r="F385" i="6"/>
  <c r="G74" i="2"/>
  <c r="E75" i="2"/>
  <c r="E73" i="2"/>
  <c r="F17" i="2"/>
  <c r="F15" i="2" s="1"/>
  <c r="G17" i="2"/>
  <c r="G15" i="2" s="1"/>
  <c r="F18" i="2"/>
  <c r="G18" i="2"/>
  <c r="F30" i="2"/>
  <c r="F27" i="2" s="1"/>
  <c r="G30" i="2"/>
  <c r="F32" i="2"/>
  <c r="F31" i="2" s="1"/>
  <c r="G32" i="2"/>
  <c r="G31" i="2" s="1"/>
  <c r="F38" i="2"/>
  <c r="G38" i="2"/>
  <c r="F39" i="2"/>
  <c r="G39" i="2"/>
  <c r="G56" i="2"/>
  <c r="E56" i="2"/>
  <c r="E38" i="2"/>
  <c r="E39" i="2"/>
  <c r="E32" i="2"/>
  <c r="E30" i="2"/>
  <c r="E18" i="2"/>
  <c r="F12" i="2"/>
  <c r="F21" i="2"/>
  <c r="F20" i="2" s="1"/>
  <c r="F19" i="2" s="1"/>
  <c r="F23" i="2"/>
  <c r="F35" i="2"/>
  <c r="F34" i="2" s="1"/>
  <c r="F37" i="2"/>
  <c r="F36" i="2" s="1"/>
  <c r="G91" i="1"/>
  <c r="G89" i="1"/>
  <c r="G84" i="1"/>
  <c r="G83" i="1" s="1"/>
  <c r="G82" i="1" s="1"/>
  <c r="G86" i="1" s="1"/>
  <c r="G73" i="1"/>
  <c r="G72" i="1" s="1"/>
  <c r="G78" i="1"/>
  <c r="G77" i="1" s="1"/>
  <c r="G76" i="1" s="1"/>
  <c r="G81" i="1" s="1"/>
  <c r="E17" i="11" s="1"/>
  <c r="G67" i="1"/>
  <c r="G66" i="1" s="1"/>
  <c r="G62" i="1"/>
  <c r="G60" i="1"/>
  <c r="G59" i="1" s="1"/>
  <c r="G58" i="1" s="1"/>
  <c r="G55" i="1"/>
  <c r="G54" i="1" s="1"/>
  <c r="G53" i="1" s="1"/>
  <c r="E13" i="11" s="1"/>
  <c r="G47" i="1"/>
  <c r="G51" i="1"/>
  <c r="G50" i="1" s="1"/>
  <c r="G38" i="1"/>
  <c r="G37" i="1" s="1"/>
  <c r="G42" i="1"/>
  <c r="G41" i="1" s="1"/>
  <c r="G40" i="1" s="1"/>
  <c r="E12" i="11" s="1"/>
  <c r="G34" i="1"/>
  <c r="G31" i="1"/>
  <c r="G30" i="1" s="1"/>
  <c r="G16" i="1" s="1"/>
  <c r="G26" i="1"/>
  <c r="G25" i="1" s="1"/>
  <c r="G17" i="1"/>
  <c r="G23" i="1"/>
  <c r="G22" i="1" s="1"/>
  <c r="G13" i="1"/>
  <c r="G11" i="1"/>
  <c r="F192" i="4"/>
  <c r="F191" i="4" s="1"/>
  <c r="F201" i="4"/>
  <c r="F215" i="4"/>
  <c r="F217" i="4"/>
  <c r="F220" i="4"/>
  <c r="F241" i="4"/>
  <c r="F247" i="4"/>
  <c r="G104" i="5"/>
  <c r="G15" i="5"/>
  <c r="G14" i="5" s="1"/>
  <c r="G13" i="5" s="1"/>
  <c r="G21" i="5"/>
  <c r="G20" i="5" s="1"/>
  <c r="G64" i="5"/>
  <c r="G87" i="5"/>
  <c r="G88" i="5"/>
  <c r="G90" i="5"/>
  <c r="G92" i="5"/>
  <c r="G94" i="5"/>
  <c r="G98" i="5"/>
  <c r="G105" i="5"/>
  <c r="F62" i="4" s="1"/>
  <c r="G108" i="5"/>
  <c r="G107" i="5" s="1"/>
  <c r="G110" i="5"/>
  <c r="G113" i="5"/>
  <c r="F70" i="4" s="1"/>
  <c r="G114" i="5"/>
  <c r="F71" i="4" s="1"/>
  <c r="G115" i="5"/>
  <c r="F72" i="4" s="1"/>
  <c r="G116" i="5"/>
  <c r="F73" i="4" s="1"/>
  <c r="G117" i="5"/>
  <c r="G121" i="5"/>
  <c r="G120" i="5" s="1"/>
  <c r="G123" i="5"/>
  <c r="G122" i="5" s="1"/>
  <c r="G127" i="5"/>
  <c r="G128" i="5"/>
  <c r="F86" i="4" s="1"/>
  <c r="G131" i="5"/>
  <c r="G133" i="5"/>
  <c r="F91" i="4" s="1"/>
  <c r="G136" i="5"/>
  <c r="G135" i="5" s="1"/>
  <c r="G139" i="5"/>
  <c r="G140" i="5"/>
  <c r="F98" i="4" s="1"/>
  <c r="G141" i="5"/>
  <c r="F99" i="4" s="1"/>
  <c r="G142" i="5"/>
  <c r="F100" i="4" s="1"/>
  <c r="G145" i="5"/>
  <c r="G146" i="5"/>
  <c r="G149" i="5"/>
  <c r="F107" i="4" s="1"/>
  <c r="G150" i="5"/>
  <c r="F108" i="4" s="1"/>
  <c r="G151" i="5"/>
  <c r="G154" i="5"/>
  <c r="G155" i="5"/>
  <c r="F113" i="4" s="1"/>
  <c r="G156" i="5"/>
  <c r="F114" i="4" s="1"/>
  <c r="G159" i="5"/>
  <c r="G161" i="5"/>
  <c r="G164" i="5"/>
  <c r="F122" i="4" s="1"/>
  <c r="G166" i="5"/>
  <c r="F124" i="4" s="1"/>
  <c r="G168" i="5"/>
  <c r="G169" i="5"/>
  <c r="G172" i="5"/>
  <c r="F130" i="4" s="1"/>
  <c r="G174" i="5"/>
  <c r="F132" i="4" s="1"/>
  <c r="G175" i="5"/>
  <c r="F133" i="4" s="1"/>
  <c r="G176" i="5"/>
  <c r="F134" i="4" s="1"/>
  <c r="G179" i="5"/>
  <c r="G181" i="5"/>
  <c r="G183" i="5"/>
  <c r="G184" i="5"/>
  <c r="F142" i="4" s="1"/>
  <c r="G185" i="5"/>
  <c r="F143" i="4" s="1"/>
  <c r="G188" i="5"/>
  <c r="G187" i="5" s="1"/>
  <c r="G190" i="5"/>
  <c r="F148" i="4" s="1"/>
  <c r="G191" i="5"/>
  <c r="F149" i="4" s="1"/>
  <c r="G195" i="5"/>
  <c r="G202" i="5"/>
  <c r="G204" i="5"/>
  <c r="G205" i="5"/>
  <c r="F163" i="4" s="1"/>
  <c r="G208" i="5"/>
  <c r="G210" i="5"/>
  <c r="F168" i="4" s="1"/>
  <c r="G212" i="5"/>
  <c r="F170" i="4" s="1"/>
  <c r="G213" i="5"/>
  <c r="F171" i="4" s="1"/>
  <c r="G217" i="5"/>
  <c r="G219" i="5"/>
  <c r="F177" i="4" s="1"/>
  <c r="G220" i="5"/>
  <c r="F178" i="4" s="1"/>
  <c r="G224" i="5"/>
  <c r="G223" i="5" s="1"/>
  <c r="G226" i="5"/>
  <c r="G227" i="5"/>
  <c r="F186" i="4" s="1"/>
  <c r="G228" i="5"/>
  <c r="F187" i="4" s="1"/>
  <c r="G231" i="5"/>
  <c r="F190" i="4" s="1"/>
  <c r="F189" i="4" s="1"/>
  <c r="G233" i="5"/>
  <c r="G232" i="5" s="1"/>
  <c r="G239" i="5"/>
  <c r="J239" i="5" s="1"/>
  <c r="G240" i="5"/>
  <c r="F199" i="4" s="1"/>
  <c r="G242" i="5"/>
  <c r="G248" i="5"/>
  <c r="G247" i="5" s="1"/>
  <c r="G244" i="5" s="1"/>
  <c r="G254" i="5"/>
  <c r="G253" i="5" s="1"/>
  <c r="G250" i="5" s="1"/>
  <c r="G257" i="5"/>
  <c r="G259" i="5"/>
  <c r="G256" i="5" s="1"/>
  <c r="G264" i="5"/>
  <c r="G265" i="5"/>
  <c r="G266" i="5"/>
  <c r="F226" i="4" s="1"/>
  <c r="G269" i="5"/>
  <c r="G270" i="5"/>
  <c r="F230" i="4" s="1"/>
  <c r="G272" i="5"/>
  <c r="G273" i="5"/>
  <c r="F233" i="4" s="1"/>
  <c r="G275" i="5"/>
  <c r="G274" i="5" s="1"/>
  <c r="G277" i="5"/>
  <c r="G280" i="5"/>
  <c r="G281" i="5"/>
  <c r="G286" i="5"/>
  <c r="G285" i="5" s="1"/>
  <c r="G284" i="5" s="1"/>
  <c r="G287" i="5"/>
  <c r="G294" i="5"/>
  <c r="G293" i="5" s="1"/>
  <c r="G298" i="5"/>
  <c r="G297" i="5" s="1"/>
  <c r="G301" i="5"/>
  <c r="G300" i="5" s="1"/>
  <c r="G299" i="5" s="1"/>
  <c r="G304" i="5"/>
  <c r="G303" i="5" s="1"/>
  <c r="G302" i="5" s="1"/>
  <c r="G308" i="5"/>
  <c r="G307" i="5" s="1"/>
  <c r="G310" i="5"/>
  <c r="G309" i="5" s="1"/>
  <c r="G312" i="5"/>
  <c r="G311" i="5" s="1"/>
  <c r="G316" i="5"/>
  <c r="G318" i="5"/>
  <c r="G321" i="5"/>
  <c r="G324" i="5"/>
  <c r="G323" i="5" s="1"/>
  <c r="G326" i="5"/>
  <c r="G325" i="5" s="1"/>
  <c r="G327" i="5"/>
  <c r="G332" i="5"/>
  <c r="G333" i="5"/>
  <c r="G339" i="5"/>
  <c r="G341" i="5"/>
  <c r="G340" i="5" s="1"/>
  <c r="G344" i="5"/>
  <c r="G352" i="5"/>
  <c r="G351" i="5" s="1"/>
  <c r="G354" i="5"/>
  <c r="G353" i="5" s="1"/>
  <c r="G360" i="5"/>
  <c r="G359" i="5" s="1"/>
  <c r="G366" i="5"/>
  <c r="G365" i="5" s="1"/>
  <c r="G369" i="5"/>
  <c r="G371" i="5"/>
  <c r="G376" i="5"/>
  <c r="G375" i="5" s="1"/>
  <c r="G379" i="5"/>
  <c r="G383" i="5"/>
  <c r="G382" i="5" s="1"/>
  <c r="G386" i="5"/>
  <c r="G385" i="5" s="1"/>
  <c r="G390" i="5"/>
  <c r="G389" i="5" s="1"/>
  <c r="G391" i="5"/>
  <c r="G393" i="5"/>
  <c r="G399" i="5"/>
  <c r="G403" i="5"/>
  <c r="G402" i="5" s="1"/>
  <c r="G409" i="5"/>
  <c r="G408" i="5" s="1"/>
  <c r="G419" i="5"/>
  <c r="G470" i="5"/>
  <c r="G473" i="5"/>
  <c r="G475" i="5"/>
  <c r="G479" i="5"/>
  <c r="G483" i="5"/>
  <c r="G485" i="5"/>
  <c r="G490" i="5"/>
  <c r="G489" i="5" s="1"/>
  <c r="G488" i="5" s="1"/>
  <c r="G497" i="5"/>
  <c r="G498" i="5"/>
  <c r="G508" i="5"/>
  <c r="G507" i="5" s="1"/>
  <c r="G506" i="5" s="1"/>
  <c r="G523" i="5"/>
  <c r="G526" i="5"/>
  <c r="G531" i="5"/>
  <c r="G535" i="5"/>
  <c r="G536" i="5"/>
  <c r="H385" i="6" l="1"/>
  <c r="G385" i="6"/>
  <c r="G534" i="5"/>
  <c r="G533" i="5" s="1"/>
  <c r="J535" i="5"/>
  <c r="E720" i="6"/>
  <c r="E719" i="6" s="1"/>
  <c r="E718" i="6" s="1"/>
  <c r="H728" i="6"/>
  <c r="J526" i="5"/>
  <c r="F237" i="4"/>
  <c r="F236" i="4" s="1"/>
  <c r="F162" i="4"/>
  <c r="G160" i="5"/>
  <c r="F119" i="4"/>
  <c r="F118" i="4" s="1"/>
  <c r="F117" i="4"/>
  <c r="F116" i="4" s="1"/>
  <c r="F109" i="4"/>
  <c r="F85" i="4"/>
  <c r="G12" i="5"/>
  <c r="F103" i="4"/>
  <c r="F97" i="4"/>
  <c r="F139" i="4"/>
  <c r="F138" i="4" s="1"/>
  <c r="E16" i="11"/>
  <c r="G51" i="5"/>
  <c r="F246" i="4"/>
  <c r="F245" i="4" s="1"/>
  <c r="F244" i="4" s="1"/>
  <c r="F243" i="4" s="1"/>
  <c r="F225" i="4"/>
  <c r="F127" i="4"/>
  <c r="F224" i="4"/>
  <c r="G158" i="5"/>
  <c r="G279" i="5"/>
  <c r="G278" i="5" s="1"/>
  <c r="F240" i="4"/>
  <c r="F239" i="4" s="1"/>
  <c r="F238" i="4" s="1"/>
  <c r="F176" i="4"/>
  <c r="G209" i="5"/>
  <c r="F167" i="4"/>
  <c r="G201" i="5"/>
  <c r="F160" i="4"/>
  <c r="F159" i="4" s="1"/>
  <c r="G180" i="5"/>
  <c r="G93" i="5"/>
  <c r="F235" i="4"/>
  <c r="F234" i="4" s="1"/>
  <c r="F126" i="4"/>
  <c r="G276" i="5"/>
  <c r="G216" i="5"/>
  <c r="F175" i="4"/>
  <c r="F174" i="4" s="1"/>
  <c r="G207" i="5"/>
  <c r="F166" i="4"/>
  <c r="F165" i="4" s="1"/>
  <c r="G194" i="5"/>
  <c r="G193" i="5" s="1"/>
  <c r="F153" i="4"/>
  <c r="G178" i="5"/>
  <c r="F137" i="4"/>
  <c r="F136" i="4" s="1"/>
  <c r="G171" i="5"/>
  <c r="F129" i="4"/>
  <c r="F232" i="4"/>
  <c r="F231" i="4" s="1"/>
  <c r="F146" i="4"/>
  <c r="F145" i="4" s="1"/>
  <c r="F112" i="4"/>
  <c r="G130" i="5"/>
  <c r="F89" i="4"/>
  <c r="F88" i="4" s="1"/>
  <c r="G89" i="5"/>
  <c r="F229" i="4"/>
  <c r="F228" i="4" s="1"/>
  <c r="F214" i="4"/>
  <c r="F14" i="2"/>
  <c r="G97" i="5"/>
  <c r="G96" i="5" s="1"/>
  <c r="G95" i="5" s="1"/>
  <c r="G10" i="1"/>
  <c r="G9" i="1" s="1"/>
  <c r="G519" i="5"/>
  <c r="G518" i="5" s="1"/>
  <c r="G338" i="5"/>
  <c r="G315" i="5"/>
  <c r="G343" i="5"/>
  <c r="G530" i="5"/>
  <c r="G529" i="5" s="1"/>
  <c r="G14" i="2"/>
  <c r="G88" i="1"/>
  <c r="G87" i="1" s="1"/>
  <c r="G94" i="1" s="1"/>
  <c r="E19" i="11" s="1"/>
  <c r="E18" i="11" s="1"/>
  <c r="F33" i="2"/>
  <c r="G91" i="5"/>
  <c r="G283" i="5"/>
  <c r="F65" i="4"/>
  <c r="F64" i="4" s="1"/>
  <c r="G469" i="5"/>
  <c r="G478" i="5"/>
  <c r="G368" i="5"/>
  <c r="G86" i="5"/>
  <c r="F74" i="4"/>
  <c r="G405" i="5"/>
  <c r="G404" i="5" s="1"/>
  <c r="F207" i="4"/>
  <c r="F206" i="4" s="1"/>
  <c r="F203" i="4" s="1"/>
  <c r="F67" i="4"/>
  <c r="F66" i="4" s="1"/>
  <c r="G109" i="5"/>
  <c r="F81" i="4"/>
  <c r="F80" i="4" s="1"/>
  <c r="G268" i="5"/>
  <c r="G119" i="5"/>
  <c r="G230" i="5"/>
  <c r="G218" i="5"/>
  <c r="F185" i="4"/>
  <c r="F79" i="4"/>
  <c r="F78" i="4" s="1"/>
  <c r="F61" i="4"/>
  <c r="F60" i="4" s="1"/>
  <c r="G271" i="5"/>
  <c r="G238" i="5"/>
  <c r="G237" i="5" s="1"/>
  <c r="G236" i="5" s="1"/>
  <c r="F212" i="4"/>
  <c r="F211" i="4" s="1"/>
  <c r="F208" i="4" s="1"/>
  <c r="F182" i="4"/>
  <c r="F181" i="4" s="1"/>
  <c r="F94" i="4"/>
  <c r="F93" i="4" s="1"/>
  <c r="G496" i="5"/>
  <c r="G495" i="5" s="1"/>
  <c r="G263" i="5"/>
  <c r="G103" i="5"/>
  <c r="F198" i="4"/>
  <c r="F197" i="4" s="1"/>
  <c r="F196" i="4" s="1"/>
  <c r="F195" i="4" s="1"/>
  <c r="E44" i="11" s="1"/>
  <c r="F11" i="2"/>
  <c r="G75" i="1"/>
  <c r="E9" i="11" s="1"/>
  <c r="G46" i="1"/>
  <c r="E11" i="11" s="1"/>
  <c r="E10" i="11" s="1"/>
  <c r="G292" i="5"/>
  <c r="G291" i="5" s="1"/>
  <c r="G381" i="5"/>
  <c r="G378" i="5" s="1"/>
  <c r="G374" i="5" s="1"/>
  <c r="G349" i="5"/>
  <c r="G398" i="5"/>
  <c r="G306" i="5"/>
  <c r="G241" i="5"/>
  <c r="G417" i="5"/>
  <c r="G412" i="5" s="1"/>
  <c r="G411" i="5" s="1"/>
  <c r="G48" i="5" l="1"/>
  <c r="G23" i="5" s="1"/>
  <c r="G11" i="5" s="1"/>
  <c r="G15" i="1"/>
  <c r="E7" i="11" s="1"/>
  <c r="E6" i="11" s="1"/>
  <c r="G8" i="1"/>
  <c r="E8" i="11"/>
  <c r="G494" i="5"/>
  <c r="G493" i="5" s="1"/>
  <c r="G517" i="5" s="1"/>
  <c r="G542" i="5"/>
  <c r="F151" i="4"/>
  <c r="F152" i="4"/>
  <c r="F76" i="4"/>
  <c r="G397" i="5"/>
  <c r="G85" i="5"/>
  <c r="G84" i="5" s="1"/>
  <c r="G83" i="5" s="1"/>
  <c r="G57" i="1"/>
  <c r="G36" i="1"/>
  <c r="E15" i="11" s="1"/>
  <c r="E14" i="11" s="1"/>
  <c r="G468" i="5"/>
  <c r="G492" i="5" s="1"/>
  <c r="G262" i="5"/>
  <c r="G261" i="5" s="1"/>
  <c r="G255" i="5" s="1"/>
  <c r="F223" i="4"/>
  <c r="F222" i="4" s="1"/>
  <c r="F219" i="4" s="1"/>
  <c r="F213" i="4" s="1"/>
  <c r="E46" i="11" s="1"/>
  <c r="F200" i="4"/>
  <c r="E45" i="11" s="1"/>
  <c r="F59" i="4"/>
  <c r="G102" i="5"/>
  <c r="F10" i="2"/>
  <c r="F77" i="2" s="1"/>
  <c r="E20" i="11" l="1"/>
  <c r="E21" i="11" s="1"/>
  <c r="E5" i="11"/>
  <c r="G396" i="5"/>
  <c r="G467" i="5" s="1"/>
  <c r="G9" i="5"/>
  <c r="G95" i="1"/>
  <c r="G99" i="5"/>
  <c r="I15" i="3"/>
  <c r="I11" i="3"/>
  <c r="I10" i="3" l="1"/>
  <c r="E15" i="6"/>
  <c r="E17" i="6"/>
  <c r="E28" i="6"/>
  <c r="E30" i="6"/>
  <c r="G129" i="5"/>
  <c r="F87" i="4" s="1"/>
  <c r="E38" i="6"/>
  <c r="H38" i="6" s="1"/>
  <c r="E43" i="6"/>
  <c r="G147" i="5"/>
  <c r="E66" i="6"/>
  <c r="E68" i="6"/>
  <c r="E79" i="6"/>
  <c r="E86" i="6"/>
  <c r="E88" i="6"/>
  <c r="E95" i="6"/>
  <c r="E102" i="6"/>
  <c r="E101" i="6" s="1"/>
  <c r="E109" i="6"/>
  <c r="G206" i="5"/>
  <c r="E115" i="6"/>
  <c r="E117" i="6"/>
  <c r="G215" i="5"/>
  <c r="F173" i="4" s="1"/>
  <c r="F169" i="4" s="1"/>
  <c r="E124" i="6"/>
  <c r="E126" i="6"/>
  <c r="E131" i="6"/>
  <c r="E139" i="6"/>
  <c r="E142" i="6"/>
  <c r="E141" i="6" s="1"/>
  <c r="E146" i="6"/>
  <c r="E145" i="6" s="1"/>
  <c r="E144" i="6" s="1"/>
  <c r="E150" i="6"/>
  <c r="E155" i="6"/>
  <c r="E152" i="6" s="1"/>
  <c r="E161" i="6"/>
  <c r="E158" i="6" s="1"/>
  <c r="E166" i="6"/>
  <c r="E165" i="6" s="1"/>
  <c r="E168" i="6"/>
  <c r="E172" i="6"/>
  <c r="E177" i="6"/>
  <c r="E180" i="6"/>
  <c r="E183" i="6"/>
  <c r="E185" i="6"/>
  <c r="E187" i="6"/>
  <c r="E188" i="6"/>
  <c r="E190" i="6"/>
  <c r="E194" i="6"/>
  <c r="E193" i="6" s="1"/>
  <c r="E196" i="6"/>
  <c r="E206" i="6"/>
  <c r="E201" i="6" s="1"/>
  <c r="E209" i="6"/>
  <c r="E208" i="6" s="1"/>
  <c r="E212" i="6"/>
  <c r="E216" i="6"/>
  <c r="E218" i="6"/>
  <c r="E220" i="6"/>
  <c r="E224" i="6"/>
  <c r="G334" i="5"/>
  <c r="G331" i="5" s="1"/>
  <c r="G329" i="5" s="1"/>
  <c r="E244" i="6"/>
  <c r="E246" i="6"/>
  <c r="E249" i="6"/>
  <c r="H249" i="6" s="1"/>
  <c r="E256" i="6"/>
  <c r="E255" i="6" s="1"/>
  <c r="E264" i="6"/>
  <c r="E263" i="6" s="1"/>
  <c r="E270" i="6"/>
  <c r="E269" i="6" s="1"/>
  <c r="E273" i="6"/>
  <c r="E275" i="6"/>
  <c r="E278" i="6"/>
  <c r="E282" i="6"/>
  <c r="E281" i="6" s="1"/>
  <c r="E285" i="6"/>
  <c r="E287" i="6"/>
  <c r="E294" i="6"/>
  <c r="E296" i="6"/>
  <c r="E302" i="6"/>
  <c r="E301" i="6" s="1"/>
  <c r="E306" i="6"/>
  <c r="E309" i="6"/>
  <c r="E308" i="6" s="1"/>
  <c r="E344" i="6"/>
  <c r="E343" i="6" s="1"/>
  <c r="E347" i="6"/>
  <c r="E351" i="6"/>
  <c r="E365" i="6"/>
  <c r="E364" i="6" s="1"/>
  <c r="E369" i="6"/>
  <c r="E373" i="6"/>
  <c r="E372" i="6" s="1"/>
  <c r="E371" i="6" s="1"/>
  <c r="E380" i="6"/>
  <c r="E383" i="6"/>
  <c r="E390" i="6"/>
  <c r="E395" i="6"/>
  <c r="E392" i="6" s="1"/>
  <c r="E505" i="6"/>
  <c r="E507" i="6"/>
  <c r="E511" i="6"/>
  <c r="E519" i="6"/>
  <c r="E525" i="6"/>
  <c r="E530" i="6"/>
  <c r="E533" i="6"/>
  <c r="E535" i="6"/>
  <c r="E537" i="6"/>
  <c r="E541" i="6"/>
  <c r="E548" i="6"/>
  <c r="E550" i="6"/>
  <c r="E553" i="6"/>
  <c r="E552" i="6" s="1"/>
  <c r="E556" i="6"/>
  <c r="E558" i="6"/>
  <c r="E560" i="6"/>
  <c r="E567" i="6"/>
  <c r="E566" i="6" s="1"/>
  <c r="E569" i="6"/>
  <c r="E572" i="6"/>
  <c r="E575" i="6"/>
  <c r="E577" i="6"/>
  <c r="E579" i="6"/>
  <c r="E589" i="6"/>
  <c r="E588" i="6" s="1"/>
  <c r="E591" i="6"/>
  <c r="E594" i="6"/>
  <c r="E593" i="6" s="1"/>
  <c r="E614" i="6"/>
  <c r="E613" i="6" s="1"/>
  <c r="E617" i="6"/>
  <c r="E616" i="6" s="1"/>
  <c r="E621" i="6"/>
  <c r="E620" i="6" s="1"/>
  <c r="E625" i="6"/>
  <c r="E627" i="6"/>
  <c r="E629" i="6"/>
  <c r="E631" i="6"/>
  <c r="E634" i="6"/>
  <c r="E636" i="6"/>
  <c r="E676" i="6"/>
  <c r="E673" i="6" s="1"/>
  <c r="E678" i="6"/>
  <c r="E682" i="6"/>
  <c r="E680" i="6" s="1"/>
  <c r="E685" i="6"/>
  <c r="E684" i="6" s="1"/>
  <c r="E691" i="6"/>
  <c r="E693" i="6"/>
  <c r="E695" i="6"/>
  <c r="E697" i="6"/>
  <c r="E701" i="6"/>
  <c r="E704" i="6"/>
  <c r="E707" i="6"/>
  <c r="E706" i="6" s="1"/>
  <c r="E712" i="6"/>
  <c r="E714" i="6"/>
  <c r="E716" i="6"/>
  <c r="E762" i="6"/>
  <c r="E761" i="6" s="1"/>
  <c r="E11" i="6"/>
  <c r="H185" i="5"/>
  <c r="F185" i="5"/>
  <c r="E143" i="4" s="1"/>
  <c r="H166" i="5"/>
  <c r="F166" i="5"/>
  <c r="E124" i="4" s="1"/>
  <c r="J185" i="5" l="1"/>
  <c r="I185" i="5"/>
  <c r="G124" i="4"/>
  <c r="J166" i="5"/>
  <c r="I166" i="5"/>
  <c r="E211" i="6"/>
  <c r="E200" i="6" s="1"/>
  <c r="H212" i="6"/>
  <c r="F164" i="4"/>
  <c r="F161" i="4" s="1"/>
  <c r="F158" i="4" s="1"/>
  <c r="E501" i="6"/>
  <c r="E149" i="6"/>
  <c r="E272" i="6"/>
  <c r="E237" i="6"/>
  <c r="E235" i="6" s="1"/>
  <c r="F71" i="6"/>
  <c r="E587" i="6"/>
  <c r="E379" i="6"/>
  <c r="E378" i="6" s="1"/>
  <c r="E363" i="6"/>
  <c r="E362" i="6" s="1"/>
  <c r="E361" i="6" s="1"/>
  <c r="E34" i="11" s="1"/>
  <c r="E33" i="11" s="1"/>
  <c r="F90" i="6"/>
  <c r="E346" i="6"/>
  <c r="E284" i="6"/>
  <c r="E280" i="6" s="1"/>
  <c r="E571" i="6"/>
  <c r="E192" i="6"/>
  <c r="F105" i="4"/>
  <c r="G144" i="5"/>
  <c r="E27" i="6"/>
  <c r="G170" i="5"/>
  <c r="F128" i="4" s="1"/>
  <c r="F125" i="4" s="1"/>
  <c r="E75" i="6"/>
  <c r="E596" i="6"/>
  <c r="E389" i="6"/>
  <c r="E388" i="6" s="1"/>
  <c r="E90" i="6"/>
  <c r="G186" i="5"/>
  <c r="F144" i="4" s="1"/>
  <c r="E52" i="6"/>
  <c r="E624" i="6"/>
  <c r="E134" i="6"/>
  <c r="E130" i="6" s="1"/>
  <c r="E129" i="6" s="1"/>
  <c r="G229" i="5"/>
  <c r="G211" i="5"/>
  <c r="G203" i="5"/>
  <c r="E97" i="6"/>
  <c r="G192" i="5"/>
  <c r="F150" i="4" s="1"/>
  <c r="F147" i="4" s="1"/>
  <c r="E61" i="6"/>
  <c r="H61" i="6" s="1"/>
  <c r="G157" i="5"/>
  <c r="F115" i="4" s="1"/>
  <c r="E46" i="6"/>
  <c r="H46" i="6" s="1"/>
  <c r="G143" i="5"/>
  <c r="F101" i="4" s="1"/>
  <c r="F84" i="4"/>
  <c r="G126" i="5"/>
  <c r="E20" i="6"/>
  <c r="E19" i="6" s="1"/>
  <c r="G118" i="5"/>
  <c r="E574" i="6"/>
  <c r="E555" i="6"/>
  <c r="E119" i="6"/>
  <c r="E111" i="6"/>
  <c r="E81" i="6"/>
  <c r="H81" i="6" s="1"/>
  <c r="G177" i="5"/>
  <c r="F135" i="4" s="1"/>
  <c r="F131" i="4" s="1"/>
  <c r="E56" i="6"/>
  <c r="H56" i="6" s="1"/>
  <c r="G152" i="5"/>
  <c r="E34" i="6"/>
  <c r="H34" i="6" s="1"/>
  <c r="E40" i="6"/>
  <c r="H40" i="6" s="1"/>
  <c r="G134" i="5"/>
  <c r="E71" i="6"/>
  <c r="G165" i="5"/>
  <c r="E164" i="6"/>
  <c r="E171" i="6"/>
  <c r="E170" i="6" s="1"/>
  <c r="E229" i="6"/>
  <c r="G322" i="5"/>
  <c r="G320" i="5" s="1"/>
  <c r="E226" i="6"/>
  <c r="G319" i="5"/>
  <c r="E215" i="6"/>
  <c r="E300" i="6"/>
  <c r="E540" i="6"/>
  <c r="E529" i="6"/>
  <c r="E518" i="6"/>
  <c r="E711" i="6"/>
  <c r="E699" i="6"/>
  <c r="E690" i="6"/>
  <c r="E633" i="6"/>
  <c r="E672" i="6"/>
  <c r="E547" i="6"/>
  <c r="E10" i="6"/>
  <c r="E612" i="6"/>
  <c r="G143" i="4"/>
  <c r="H90" i="6" l="1"/>
  <c r="H71" i="6"/>
  <c r="F110" i="4"/>
  <c r="F106" i="4" s="1"/>
  <c r="F140" i="4"/>
  <c r="E623" i="6"/>
  <c r="E611" i="6" s="1"/>
  <c r="E377" i="6"/>
  <c r="E586" i="6"/>
  <c r="E70" i="6"/>
  <c r="E45" i="6"/>
  <c r="E108" i="6"/>
  <c r="G132" i="5"/>
  <c r="G125" i="5" s="1"/>
  <c r="F92" i="4"/>
  <c r="F90" i="4" s="1"/>
  <c r="F83" i="4" s="1"/>
  <c r="G189" i="5"/>
  <c r="G163" i="5"/>
  <c r="F123" i="4"/>
  <c r="F121" i="4" s="1"/>
  <c r="G167" i="5"/>
  <c r="E223" i="6"/>
  <c r="E214" i="6" s="1"/>
  <c r="G173" i="5"/>
  <c r="G200" i="5"/>
  <c r="F188" i="4"/>
  <c r="F184" i="4" s="1"/>
  <c r="F180" i="4" s="1"/>
  <c r="F179" i="4" s="1"/>
  <c r="E43" i="11" s="1"/>
  <c r="G225" i="5"/>
  <c r="G222" i="5" s="1"/>
  <c r="G221" i="5" s="1"/>
  <c r="G182" i="5"/>
  <c r="G148" i="5"/>
  <c r="F111" i="4"/>
  <c r="G153" i="5"/>
  <c r="E565" i="6"/>
  <c r="G317" i="5"/>
  <c r="G314" i="5" s="1"/>
  <c r="F104" i="4"/>
  <c r="F102" i="4" s="1"/>
  <c r="E33" i="6"/>
  <c r="F75" i="4"/>
  <c r="F69" i="4" s="1"/>
  <c r="F68" i="4" s="1"/>
  <c r="F58" i="4" s="1"/>
  <c r="E41" i="11" s="1"/>
  <c r="G112" i="5"/>
  <c r="G111" i="5" s="1"/>
  <c r="G101" i="5" s="1"/>
  <c r="F96" i="4"/>
  <c r="G138" i="5"/>
  <c r="E163" i="6"/>
  <c r="E299" i="6"/>
  <c r="E539" i="6"/>
  <c r="E528" i="6"/>
  <c r="E510" i="6"/>
  <c r="E500" i="6" s="1"/>
  <c r="E710" i="6"/>
  <c r="E689" i="6"/>
  <c r="E688" i="6" s="1"/>
  <c r="E546" i="6"/>
  <c r="E9" i="6"/>
  <c r="E585" i="6" l="1"/>
  <c r="E36" i="11"/>
  <c r="E35" i="11" s="1"/>
  <c r="G305" i="5"/>
  <c r="G290" i="5" s="1"/>
  <c r="G395" i="5" s="1"/>
  <c r="E32" i="6"/>
  <c r="F95" i="4"/>
  <c r="G162" i="5"/>
  <c r="E564" i="6"/>
  <c r="E199" i="6"/>
  <c r="E198" i="6" s="1"/>
  <c r="G137" i="5"/>
  <c r="F120" i="4"/>
  <c r="E298" i="6"/>
  <c r="E527" i="6"/>
  <c r="E709" i="6"/>
  <c r="E687" i="6" s="1"/>
  <c r="E671" i="6"/>
  <c r="E610" i="6"/>
  <c r="E609" i="6" s="1"/>
  <c r="E584" i="6"/>
  <c r="E545" i="6"/>
  <c r="E32" i="11" l="1"/>
  <c r="E499" i="6"/>
  <c r="E498" i="6" s="1"/>
  <c r="E796" i="6"/>
  <c r="E28" i="11"/>
  <c r="E27" i="11" s="1"/>
  <c r="F82" i="4"/>
  <c r="E42" i="11" s="1"/>
  <c r="E47" i="11" s="1"/>
  <c r="G124" i="5"/>
  <c r="G100" i="5" s="1"/>
  <c r="G8" i="5" s="1"/>
  <c r="E8" i="6"/>
  <c r="E795" i="6" s="1"/>
  <c r="E563" i="6"/>
  <c r="E562" i="6" s="1"/>
  <c r="E670" i="6"/>
  <c r="E544" i="6"/>
  <c r="H497" i="5"/>
  <c r="F497" i="5"/>
  <c r="F365" i="6"/>
  <c r="D365" i="6"/>
  <c r="E220" i="4"/>
  <c r="E31" i="11" l="1"/>
  <c r="J497" i="5"/>
  <c r="I497" i="5"/>
  <c r="H365" i="6"/>
  <c r="G365" i="6"/>
  <c r="E26" i="11"/>
  <c r="E25" i="11" s="1"/>
  <c r="E7" i="6"/>
  <c r="E6" i="6" s="1"/>
  <c r="E797" i="6"/>
  <c r="E669" i="6"/>
  <c r="G289" i="5"/>
  <c r="G543" i="5"/>
  <c r="F57" i="4"/>
  <c r="I14" i="3" s="1"/>
  <c r="I13" i="3" s="1"/>
  <c r="I16" i="3" s="1"/>
  <c r="I28" i="3" s="1"/>
  <c r="E543" i="6"/>
  <c r="F15" i="6"/>
  <c r="F17" i="6"/>
  <c r="F43" i="6"/>
  <c r="F66" i="6"/>
  <c r="F79" i="6"/>
  <c r="F86" i="6"/>
  <c r="F95" i="6"/>
  <c r="F102" i="6"/>
  <c r="F109" i="6"/>
  <c r="F115" i="6"/>
  <c r="F117" i="6"/>
  <c r="F119" i="6"/>
  <c r="F126" i="6"/>
  <c r="F131" i="6"/>
  <c r="F142" i="6"/>
  <c r="F150" i="6"/>
  <c r="F155" i="6"/>
  <c r="F165" i="6"/>
  <c r="F166" i="6"/>
  <c r="F168" i="6"/>
  <c r="F177" i="6"/>
  <c r="F180" i="6"/>
  <c r="F183" i="6"/>
  <c r="F187" i="6"/>
  <c r="F188" i="6"/>
  <c r="F190" i="6"/>
  <c r="F194" i="6"/>
  <c r="F196" i="6"/>
  <c r="F202" i="6"/>
  <c r="F206" i="6"/>
  <c r="F209" i="6"/>
  <c r="F28" i="6"/>
  <c r="F224" i="6"/>
  <c r="F237" i="6"/>
  <c r="F88" i="6"/>
  <c r="F264" i="6"/>
  <c r="F270" i="6"/>
  <c r="F273" i="6"/>
  <c r="F275" i="6"/>
  <c r="F278" i="6"/>
  <c r="F282" i="6"/>
  <c r="F285" i="6"/>
  <c r="F287" i="6"/>
  <c r="F294" i="6"/>
  <c r="F296" i="6"/>
  <c r="F302" i="6"/>
  <c r="F306" i="6"/>
  <c r="F309" i="6"/>
  <c r="F344" i="6"/>
  <c r="F351" i="6"/>
  <c r="F364" i="6"/>
  <c r="F369" i="6"/>
  <c r="F373" i="6"/>
  <c r="F380" i="6"/>
  <c r="F383" i="6"/>
  <c r="F390" i="6"/>
  <c r="F395" i="6"/>
  <c r="F505" i="6"/>
  <c r="F507" i="6"/>
  <c r="F511" i="6"/>
  <c r="F519" i="6"/>
  <c r="F525" i="6"/>
  <c r="F530" i="6"/>
  <c r="F533" i="6"/>
  <c r="F535" i="6"/>
  <c r="F537" i="6"/>
  <c r="F541" i="6"/>
  <c r="F547" i="6"/>
  <c r="F548" i="6"/>
  <c r="F550" i="6"/>
  <c r="F553" i="6"/>
  <c r="F556" i="6"/>
  <c r="F558" i="6"/>
  <c r="F560" i="6"/>
  <c r="F567" i="6"/>
  <c r="F569" i="6"/>
  <c r="F572" i="6"/>
  <c r="F575" i="6"/>
  <c r="F577" i="6"/>
  <c r="F579" i="6"/>
  <c r="F589" i="6"/>
  <c r="F591" i="6"/>
  <c r="F594" i="6"/>
  <c r="F614" i="6"/>
  <c r="F617" i="6"/>
  <c r="F621" i="6"/>
  <c r="F625" i="6"/>
  <c r="F627" i="6"/>
  <c r="F629" i="6"/>
  <c r="F631" i="6"/>
  <c r="F634" i="6"/>
  <c r="F636" i="6"/>
  <c r="F676" i="6"/>
  <c r="F678" i="6"/>
  <c r="F682" i="6"/>
  <c r="F685" i="6"/>
  <c r="F691" i="6"/>
  <c r="F693" i="6"/>
  <c r="F695" i="6"/>
  <c r="F697" i="6"/>
  <c r="F701" i="6"/>
  <c r="F704" i="6"/>
  <c r="F707" i="6"/>
  <c r="F712" i="6"/>
  <c r="F714" i="6"/>
  <c r="F716" i="6"/>
  <c r="F726" i="6"/>
  <c r="F762" i="6"/>
  <c r="H762" i="6" l="1"/>
  <c r="H697" i="6"/>
  <c r="H685" i="6"/>
  <c r="H636" i="6"/>
  <c r="H614" i="6"/>
  <c r="H569" i="6"/>
  <c r="H547" i="6"/>
  <c r="H511" i="6"/>
  <c r="H369" i="6"/>
  <c r="H294" i="6"/>
  <c r="H278" i="6"/>
  <c r="H28" i="6"/>
  <c r="H168" i="6"/>
  <c r="H119" i="6"/>
  <c r="H66" i="6"/>
  <c r="H707" i="6"/>
  <c r="H682" i="6"/>
  <c r="H594" i="6"/>
  <c r="H567" i="6"/>
  <c r="H541" i="6"/>
  <c r="H507" i="6"/>
  <c r="H383" i="6"/>
  <c r="H306" i="6"/>
  <c r="H88" i="6"/>
  <c r="H716" i="6"/>
  <c r="H678" i="6"/>
  <c r="H621" i="6"/>
  <c r="H575" i="6"/>
  <c r="H560" i="6"/>
  <c r="H550" i="6"/>
  <c r="H537" i="6"/>
  <c r="H525" i="6"/>
  <c r="H505" i="6"/>
  <c r="H380" i="6"/>
  <c r="H351" i="6"/>
  <c r="H302" i="6"/>
  <c r="H285" i="6"/>
  <c r="H273" i="6"/>
  <c r="H237" i="6"/>
  <c r="H206" i="6"/>
  <c r="H190" i="6"/>
  <c r="H180" i="6"/>
  <c r="H165" i="6"/>
  <c r="H131" i="6"/>
  <c r="H115" i="6"/>
  <c r="H86" i="6"/>
  <c r="H17" i="6"/>
  <c r="H712" i="6"/>
  <c r="H627" i="6"/>
  <c r="H579" i="6"/>
  <c r="H556" i="6"/>
  <c r="H533" i="6"/>
  <c r="H390" i="6"/>
  <c r="H309" i="6"/>
  <c r="H264" i="6"/>
  <c r="H196" i="6"/>
  <c r="H187" i="6"/>
  <c r="H150" i="6"/>
  <c r="H102" i="6"/>
  <c r="F721" i="6"/>
  <c r="H726" i="6"/>
  <c r="G726" i="6"/>
  <c r="H695" i="6"/>
  <c r="H634" i="6"/>
  <c r="H625" i="6"/>
  <c r="H577" i="6"/>
  <c r="H553" i="6"/>
  <c r="H530" i="6"/>
  <c r="H364" i="6"/>
  <c r="H287" i="6"/>
  <c r="H275" i="6"/>
  <c r="H209" i="6"/>
  <c r="H194" i="6"/>
  <c r="H183" i="6"/>
  <c r="H166" i="6"/>
  <c r="H142" i="6"/>
  <c r="H117" i="6"/>
  <c r="H95" i="6"/>
  <c r="H43" i="6"/>
  <c r="H704" i="6"/>
  <c r="H693" i="6"/>
  <c r="H631" i="6"/>
  <c r="H591" i="6"/>
  <c r="H714" i="6"/>
  <c r="H701" i="6"/>
  <c r="H691" i="6"/>
  <c r="H676" i="6"/>
  <c r="H629" i="6"/>
  <c r="H617" i="6"/>
  <c r="H589" i="6"/>
  <c r="H572" i="6"/>
  <c r="H558" i="6"/>
  <c r="H548" i="6"/>
  <c r="H535" i="6"/>
  <c r="H519" i="6"/>
  <c r="H395" i="6"/>
  <c r="H373" i="6"/>
  <c r="H344" i="6"/>
  <c r="H296" i="6"/>
  <c r="H282" i="6"/>
  <c r="H270" i="6"/>
  <c r="H224" i="6"/>
  <c r="H202" i="6"/>
  <c r="H188" i="6"/>
  <c r="H177" i="6"/>
  <c r="H155" i="6"/>
  <c r="H126" i="6"/>
  <c r="H109" i="6"/>
  <c r="H79" i="6"/>
  <c r="H15" i="6"/>
  <c r="F574" i="6"/>
  <c r="E30" i="11"/>
  <c r="E29" i="11" s="1"/>
  <c r="E37" i="11" s="1"/>
  <c r="E38" i="11" s="1"/>
  <c r="F501" i="6"/>
  <c r="F33" i="6"/>
  <c r="F249" i="4"/>
  <c r="D10" i="8" s="1"/>
  <c r="F11" i="6"/>
  <c r="F269" i="6"/>
  <c r="F761" i="6"/>
  <c r="F552" i="6"/>
  <c r="F379" i="6"/>
  <c r="F308" i="6"/>
  <c r="F706" i="6"/>
  <c r="F372" i="6"/>
  <c r="F347" i="6"/>
  <c r="F161" i="6"/>
  <c r="F141" i="6"/>
  <c r="F101" i="6"/>
  <c r="F616" i="6"/>
  <c r="F281" i="6"/>
  <c r="F68" i="6"/>
  <c r="F613" i="6"/>
  <c r="F593" i="6"/>
  <c r="F566" i="6"/>
  <c r="F540" i="6"/>
  <c r="F263" i="6"/>
  <c r="F146" i="6"/>
  <c r="F124" i="6"/>
  <c r="F30" i="6"/>
  <c r="F620" i="6"/>
  <c r="F588" i="6"/>
  <c r="F571" i="6"/>
  <c r="F343" i="6"/>
  <c r="F301" i="6"/>
  <c r="F208" i="6"/>
  <c r="F185" i="6"/>
  <c r="F152" i="6"/>
  <c r="F139" i="6"/>
  <c r="F392" i="6"/>
  <c r="F193" i="6"/>
  <c r="F680" i="6"/>
  <c r="F673" i="6"/>
  <c r="F684" i="6"/>
  <c r="F201" i="6"/>
  <c r="F518" i="6"/>
  <c r="F244" i="6"/>
  <c r="F699" i="6"/>
  <c r="F596" i="6"/>
  <c r="F363" i="6"/>
  <c r="F97" i="6"/>
  <c r="F75" i="6"/>
  <c r="F633" i="6"/>
  <c r="F624" i="6"/>
  <c r="F690" i="6"/>
  <c r="F711" i="6"/>
  <c r="F555" i="6"/>
  <c r="F134" i="6"/>
  <c r="F529" i="6"/>
  <c r="F272" i="6"/>
  <c r="F111" i="6"/>
  <c r="F218" i="6"/>
  <c r="F172" i="6"/>
  <c r="F20" i="6"/>
  <c r="F284" i="6"/>
  <c r="F256" i="6"/>
  <c r="F164" i="6"/>
  <c r="F246" i="6"/>
  <c r="F220" i="6"/>
  <c r="F216" i="6"/>
  <c r="H264" i="5"/>
  <c r="H265" i="5"/>
  <c r="H266" i="5"/>
  <c r="F266" i="5"/>
  <c r="E226" i="4" s="1"/>
  <c r="F265" i="5"/>
  <c r="F264" i="5"/>
  <c r="D161" i="6"/>
  <c r="D158" i="6" s="1"/>
  <c r="D155" i="6"/>
  <c r="D152" i="6" s="1"/>
  <c r="F254" i="5"/>
  <c r="F253" i="5" s="1"/>
  <c r="H231" i="5"/>
  <c r="F231" i="5"/>
  <c r="E190" i="4" s="1"/>
  <c r="E189" i="4" s="1"/>
  <c r="D139" i="6"/>
  <c r="H123" i="5"/>
  <c r="F123" i="5"/>
  <c r="F122" i="5" s="1"/>
  <c r="D30" i="6"/>
  <c r="H246" i="6" l="1"/>
  <c r="H711" i="6"/>
  <c r="H392" i="6"/>
  <c r="H588" i="6"/>
  <c r="H616" i="6"/>
  <c r="H11" i="6"/>
  <c r="H164" i="6"/>
  <c r="H690" i="6"/>
  <c r="H673" i="6"/>
  <c r="H620" i="6"/>
  <c r="H613" i="6"/>
  <c r="H372" i="6"/>
  <c r="F720" i="6"/>
  <c r="H721" i="6"/>
  <c r="G721" i="6"/>
  <c r="J231" i="5"/>
  <c r="I231" i="5"/>
  <c r="H20" i="6"/>
  <c r="H75" i="6"/>
  <c r="H684" i="6"/>
  <c r="H146" i="6"/>
  <c r="H347" i="6"/>
  <c r="H501" i="6"/>
  <c r="H529" i="6"/>
  <c r="H97" i="6"/>
  <c r="H301" i="6"/>
  <c r="H263" i="6"/>
  <c r="H101" i="6"/>
  <c r="H552" i="6"/>
  <c r="H216" i="6"/>
  <c r="F255" i="6"/>
  <c r="H256" i="6"/>
  <c r="H218" i="6"/>
  <c r="H134" i="6"/>
  <c r="H624" i="6"/>
  <c r="H363" i="6"/>
  <c r="H518" i="6"/>
  <c r="H680" i="6"/>
  <c r="H152" i="6"/>
  <c r="G152" i="6"/>
  <c r="H343" i="6"/>
  <c r="G30" i="6"/>
  <c r="H30" i="6"/>
  <c r="H540" i="6"/>
  <c r="H68" i="6"/>
  <c r="H141" i="6"/>
  <c r="H706" i="6"/>
  <c r="H761" i="6"/>
  <c r="H574" i="6"/>
  <c r="J265" i="5"/>
  <c r="I265" i="5"/>
  <c r="H272" i="6"/>
  <c r="H699" i="6"/>
  <c r="H208" i="6"/>
  <c r="H593" i="6"/>
  <c r="H379" i="6"/>
  <c r="J123" i="5"/>
  <c r="I123" i="5"/>
  <c r="J264" i="5"/>
  <c r="I264" i="5"/>
  <c r="H172" i="6"/>
  <c r="H244" i="6"/>
  <c r="H139" i="6"/>
  <c r="G139" i="6"/>
  <c r="I266" i="5"/>
  <c r="J266" i="5"/>
  <c r="H220" i="6"/>
  <c r="H284" i="6"/>
  <c r="H111" i="6"/>
  <c r="H555" i="6"/>
  <c r="H633" i="6"/>
  <c r="H596" i="6"/>
  <c r="H201" i="6"/>
  <c r="H193" i="6"/>
  <c r="H185" i="6"/>
  <c r="H571" i="6"/>
  <c r="H124" i="6"/>
  <c r="H566" i="6"/>
  <c r="H281" i="6"/>
  <c r="H161" i="6"/>
  <c r="G161" i="6"/>
  <c r="H308" i="6"/>
  <c r="H269" i="6"/>
  <c r="H33" i="6"/>
  <c r="G155" i="6"/>
  <c r="E24" i="11"/>
  <c r="F158" i="6"/>
  <c r="D14" i="8"/>
  <c r="F27" i="6"/>
  <c r="F235" i="6"/>
  <c r="F215" i="6"/>
  <c r="D13" i="8"/>
  <c r="D15" i="8"/>
  <c r="F565" i="6"/>
  <c r="F192" i="6"/>
  <c r="F389" i="6"/>
  <c r="F378" i="6"/>
  <c r="F528" i="6"/>
  <c r="F612" i="6"/>
  <c r="F19" i="6"/>
  <c r="F689" i="6"/>
  <c r="F587" i="6"/>
  <c r="F710" i="6"/>
  <c r="F108" i="6"/>
  <c r="G190" i="4"/>
  <c r="G189" i="4" s="1"/>
  <c r="G226" i="4"/>
  <c r="F211" i="6"/>
  <c r="F10" i="6"/>
  <c r="F280" i="6"/>
  <c r="F346" i="6"/>
  <c r="F130" i="6"/>
  <c r="F300" i="6"/>
  <c r="F546" i="6"/>
  <c r="F362" i="6"/>
  <c r="F145" i="6"/>
  <c r="F539" i="6"/>
  <c r="F371" i="6"/>
  <c r="F171" i="6"/>
  <c r="F672" i="6"/>
  <c r="F623" i="6"/>
  <c r="F70" i="6"/>
  <c r="H254" i="5"/>
  <c r="H263" i="5"/>
  <c r="F263" i="5"/>
  <c r="E212" i="4"/>
  <c r="E211" i="4" s="1"/>
  <c r="F230" i="5"/>
  <c r="H230" i="5"/>
  <c r="H122" i="5"/>
  <c r="E81" i="4"/>
  <c r="E80" i="4" s="1"/>
  <c r="G81" i="4"/>
  <c r="G80" i="4" s="1"/>
  <c r="H90" i="5"/>
  <c r="F90" i="5"/>
  <c r="F89" i="5" s="1"/>
  <c r="D533" i="6"/>
  <c r="G533" i="6" s="1"/>
  <c r="H16" i="10"/>
  <c r="G16" i="10"/>
  <c r="G15" i="10" s="1"/>
  <c r="G14" i="10" s="1"/>
  <c r="G18" i="10" s="1"/>
  <c r="F16" i="10"/>
  <c r="E16" i="10"/>
  <c r="H15" i="10"/>
  <c r="H14" i="10" s="1"/>
  <c r="H18" i="10" s="1"/>
  <c r="E15" i="10"/>
  <c r="E14" i="10" s="1"/>
  <c r="E18" i="10" s="1"/>
  <c r="F14" i="10"/>
  <c r="F18" i="10" s="1"/>
  <c r="F13" i="10"/>
  <c r="H11" i="10"/>
  <c r="G11" i="10"/>
  <c r="G10" i="10" s="1"/>
  <c r="G9" i="10" s="1"/>
  <c r="G13" i="10" s="1"/>
  <c r="H10" i="10"/>
  <c r="H9" i="10" s="1"/>
  <c r="H13" i="10" s="1"/>
  <c r="E10" i="10"/>
  <c r="E9" i="10" s="1"/>
  <c r="E13" i="10" s="1"/>
  <c r="F9" i="10"/>
  <c r="H362" i="6" l="1"/>
  <c r="H255" i="6"/>
  <c r="H70" i="6"/>
  <c r="H371" i="6"/>
  <c r="H546" i="6"/>
  <c r="H280" i="6"/>
  <c r="H689" i="6"/>
  <c r="H378" i="6"/>
  <c r="H27" i="6"/>
  <c r="H171" i="6"/>
  <c r="H235" i="6"/>
  <c r="H539" i="6"/>
  <c r="F299" i="6"/>
  <c r="H300" i="6"/>
  <c r="H10" i="6"/>
  <c r="H108" i="6"/>
  <c r="H19" i="6"/>
  <c r="F388" i="6"/>
  <c r="F377" i="6" s="1"/>
  <c r="H389" i="6"/>
  <c r="J254" i="5"/>
  <c r="I254" i="5"/>
  <c r="H346" i="6"/>
  <c r="H587" i="6"/>
  <c r="H528" i="6"/>
  <c r="H565" i="6"/>
  <c r="J122" i="5"/>
  <c r="I122" i="5"/>
  <c r="H623" i="6"/>
  <c r="J90" i="5"/>
  <c r="I90" i="5"/>
  <c r="J230" i="5"/>
  <c r="I230" i="5"/>
  <c r="J263" i="5"/>
  <c r="I263" i="5"/>
  <c r="F671" i="6"/>
  <c r="F670" i="6" s="1"/>
  <c r="H672" i="6"/>
  <c r="H145" i="6"/>
  <c r="H130" i="6"/>
  <c r="H211" i="6"/>
  <c r="H710" i="6"/>
  <c r="H612" i="6"/>
  <c r="H192" i="6"/>
  <c r="H215" i="6"/>
  <c r="H158" i="6"/>
  <c r="G158" i="6"/>
  <c r="H720" i="6"/>
  <c r="G720" i="6"/>
  <c r="F719" i="6"/>
  <c r="F611" i="6"/>
  <c r="F200" i="6"/>
  <c r="F564" i="6"/>
  <c r="D12" i="8"/>
  <c r="F545" i="6"/>
  <c r="F586" i="6"/>
  <c r="F9" i="6"/>
  <c r="F688" i="6"/>
  <c r="F361" i="6"/>
  <c r="F129" i="6"/>
  <c r="F149" i="6"/>
  <c r="F144" i="6"/>
  <c r="H89" i="5"/>
  <c r="H253" i="5"/>
  <c r="F709" i="6"/>
  <c r="F527" i="6"/>
  <c r="F170" i="6"/>
  <c r="G212" i="4"/>
  <c r="G211" i="4" s="1"/>
  <c r="G208" i="4" s="1"/>
  <c r="F18" i="1"/>
  <c r="G37" i="2"/>
  <c r="G36" i="2" s="1"/>
  <c r="E37" i="2"/>
  <c r="E36" i="2" s="1"/>
  <c r="H62" i="1"/>
  <c r="F62" i="1"/>
  <c r="E17" i="2"/>
  <c r="E15" i="2" s="1"/>
  <c r="H144" i="6" l="1"/>
  <c r="H709" i="6"/>
  <c r="H149" i="6"/>
  <c r="H9" i="6"/>
  <c r="F718" i="6"/>
  <c r="H719" i="6"/>
  <c r="G719" i="6"/>
  <c r="H688" i="6"/>
  <c r="F610" i="6"/>
  <c r="H611" i="6"/>
  <c r="J253" i="5"/>
  <c r="I253" i="5"/>
  <c r="H377" i="6"/>
  <c r="F563" i="6"/>
  <c r="F562" i="6" s="1"/>
  <c r="H564" i="6"/>
  <c r="H388" i="6"/>
  <c r="H527" i="6"/>
  <c r="F544" i="6"/>
  <c r="F543" i="6" s="1"/>
  <c r="H545" i="6"/>
  <c r="H670" i="6"/>
  <c r="H129" i="6"/>
  <c r="F163" i="6"/>
  <c r="F796" i="6" s="1"/>
  <c r="H170" i="6"/>
  <c r="J89" i="5"/>
  <c r="I89" i="5"/>
  <c r="F34" i="11"/>
  <c r="H34" i="11" s="1"/>
  <c r="H361" i="6"/>
  <c r="F585" i="6"/>
  <c r="H586" i="6"/>
  <c r="H200" i="6"/>
  <c r="H671" i="6"/>
  <c r="H299" i="6"/>
  <c r="H250" i="5"/>
  <c r="D11" i="8"/>
  <c r="F36" i="11"/>
  <c r="F687" i="6"/>
  <c r="F17" i="1"/>
  <c r="G46" i="2"/>
  <c r="E46" i="2"/>
  <c r="G45" i="2"/>
  <c r="E45" i="2"/>
  <c r="F42" i="1"/>
  <c r="H687" i="6" l="1"/>
  <c r="H544" i="6"/>
  <c r="F33" i="11"/>
  <c r="H33" i="11" s="1"/>
  <c r="H585" i="6"/>
  <c r="H163" i="6"/>
  <c r="H796" i="6"/>
  <c r="F609" i="6"/>
  <c r="H610" i="6"/>
  <c r="H543" i="6"/>
  <c r="H562" i="6"/>
  <c r="F584" i="6"/>
  <c r="J250" i="5"/>
  <c r="H563" i="6"/>
  <c r="H718" i="6"/>
  <c r="G718" i="6"/>
  <c r="F35" i="11"/>
  <c r="H35" i="11" s="1"/>
  <c r="H36" i="11"/>
  <c r="F669" i="6"/>
  <c r="D240" i="6"/>
  <c r="G240" i="6" s="1"/>
  <c r="D231" i="6"/>
  <c r="G231" i="6" s="1"/>
  <c r="D228" i="6"/>
  <c r="G228" i="6" s="1"/>
  <c r="D123" i="6"/>
  <c r="G123" i="6" s="1"/>
  <c r="D138" i="6"/>
  <c r="G138" i="6" s="1"/>
  <c r="D26" i="6"/>
  <c r="G26" i="6" s="1"/>
  <c r="H669" i="6" l="1"/>
  <c r="H609" i="6"/>
  <c r="H584" i="6"/>
  <c r="F229" i="6"/>
  <c r="H229" i="6" l="1"/>
  <c r="F226" i="6"/>
  <c r="D114" i="6"/>
  <c r="G114" i="6" s="1"/>
  <c r="D94" i="6"/>
  <c r="G94" i="6" s="1"/>
  <c r="D85" i="6"/>
  <c r="G85" i="6" s="1"/>
  <c r="D78" i="6"/>
  <c r="G78" i="6" s="1"/>
  <c r="D73" i="6"/>
  <c r="D65" i="6"/>
  <c r="G65" i="6" s="1"/>
  <c r="D60" i="6"/>
  <c r="G60" i="6" s="1"/>
  <c r="D55" i="6"/>
  <c r="G55" i="6" s="1"/>
  <c r="D51" i="6"/>
  <c r="G51" i="6" s="1"/>
  <c r="D42" i="6"/>
  <c r="G42" i="6" s="1"/>
  <c r="D37" i="6"/>
  <c r="G37" i="6" s="1"/>
  <c r="D71" i="6" l="1"/>
  <c r="G71" i="6" s="1"/>
  <c r="G73" i="6"/>
  <c r="F223" i="6"/>
  <c r="H226" i="6"/>
  <c r="F52" i="6"/>
  <c r="G198" i="4"/>
  <c r="H223" i="6" l="1"/>
  <c r="F214" i="6"/>
  <c r="H52" i="6"/>
  <c r="F45" i="6"/>
  <c r="F444" i="5"/>
  <c r="I444" i="5" s="1"/>
  <c r="F441" i="5"/>
  <c r="F409" i="5"/>
  <c r="F408" i="5" s="1"/>
  <c r="H403" i="5"/>
  <c r="F403" i="5"/>
  <c r="H332" i="5"/>
  <c r="H333" i="5"/>
  <c r="H334" i="5"/>
  <c r="H352" i="5"/>
  <c r="H354" i="5"/>
  <c r="H344" i="5"/>
  <c r="H339" i="5"/>
  <c r="H341" i="5"/>
  <c r="H390" i="5"/>
  <c r="H386" i="5"/>
  <c r="H383" i="5"/>
  <c r="F390" i="5"/>
  <c r="F389" i="5" s="1"/>
  <c r="F386" i="5"/>
  <c r="F385" i="5" s="1"/>
  <c r="F383" i="5"/>
  <c r="F382" i="5" s="1"/>
  <c r="J341" i="5" l="1"/>
  <c r="H214" i="6"/>
  <c r="J383" i="5"/>
  <c r="I383" i="5"/>
  <c r="J339" i="5"/>
  <c r="J334" i="5"/>
  <c r="J403" i="5"/>
  <c r="I403" i="5"/>
  <c r="F32" i="6"/>
  <c r="H45" i="6"/>
  <c r="J386" i="5"/>
  <c r="I386" i="5"/>
  <c r="J344" i="5"/>
  <c r="J333" i="5"/>
  <c r="J352" i="5"/>
  <c r="J390" i="5"/>
  <c r="I390" i="5"/>
  <c r="J354" i="5"/>
  <c r="J332" i="5"/>
  <c r="F199" i="6"/>
  <c r="F433" i="5"/>
  <c r="H441" i="5"/>
  <c r="F412" i="5"/>
  <c r="H340" i="5"/>
  <c r="H351" i="5"/>
  <c r="H338" i="5"/>
  <c r="H389" i="5"/>
  <c r="H385" i="5"/>
  <c r="H382" i="5"/>
  <c r="H353" i="5"/>
  <c r="H343" i="5"/>
  <c r="H402" i="5"/>
  <c r="H399" i="5"/>
  <c r="H409" i="5"/>
  <c r="H405" i="5"/>
  <c r="F405" i="5"/>
  <c r="F404" i="5" s="1"/>
  <c r="F381" i="5"/>
  <c r="H331" i="5"/>
  <c r="J331" i="5" l="1"/>
  <c r="J441" i="5"/>
  <c r="I441" i="5"/>
  <c r="J399" i="5"/>
  <c r="J382" i="5"/>
  <c r="I382" i="5"/>
  <c r="J351" i="5"/>
  <c r="J353" i="5"/>
  <c r="J385" i="5"/>
  <c r="I385" i="5"/>
  <c r="H199" i="6"/>
  <c r="J409" i="5"/>
  <c r="I409" i="5"/>
  <c r="J338" i="5"/>
  <c r="J402" i="5"/>
  <c r="J340" i="5"/>
  <c r="J405" i="5"/>
  <c r="I405" i="5"/>
  <c r="J343" i="5"/>
  <c r="J389" i="5"/>
  <c r="I389" i="5"/>
  <c r="H32" i="6"/>
  <c r="H433" i="5"/>
  <c r="F8" i="6"/>
  <c r="F198" i="6"/>
  <c r="H349" i="5"/>
  <c r="H381" i="5"/>
  <c r="H329" i="5"/>
  <c r="H398" i="5"/>
  <c r="H404" i="5"/>
  <c r="F354" i="5"/>
  <c r="I354" i="5" s="1"/>
  <c r="F352" i="5"/>
  <c r="I352" i="5" s="1"/>
  <c r="F344" i="5"/>
  <c r="I344" i="5" s="1"/>
  <c r="F341" i="5"/>
  <c r="I341" i="5" s="1"/>
  <c r="F339" i="5"/>
  <c r="I339" i="5" s="1"/>
  <c r="F334" i="5"/>
  <c r="I334" i="5" s="1"/>
  <c r="F333" i="5"/>
  <c r="I333" i="5" s="1"/>
  <c r="F332" i="5"/>
  <c r="I332" i="5" s="1"/>
  <c r="J398" i="5" l="1"/>
  <c r="H198" i="6"/>
  <c r="J349" i="5"/>
  <c r="H8" i="6"/>
  <c r="J404" i="5"/>
  <c r="I404" i="5"/>
  <c r="J329" i="5"/>
  <c r="J381" i="5"/>
  <c r="I381" i="5"/>
  <c r="J433" i="5"/>
  <c r="I433" i="5"/>
  <c r="F7" i="6"/>
  <c r="F28" i="11"/>
  <c r="F343" i="5"/>
  <c r="I343" i="5" s="1"/>
  <c r="F351" i="5"/>
  <c r="I351" i="5" s="1"/>
  <c r="F338" i="5"/>
  <c r="I338" i="5" s="1"/>
  <c r="F353" i="5"/>
  <c r="I353" i="5" s="1"/>
  <c r="F331" i="5"/>
  <c r="I331" i="5" s="1"/>
  <c r="H326" i="5"/>
  <c r="F326" i="5"/>
  <c r="F325" i="5" s="1"/>
  <c r="H324" i="5"/>
  <c r="F324" i="5"/>
  <c r="F323" i="5" s="1"/>
  <c r="H322" i="5"/>
  <c r="F322" i="5"/>
  <c r="H319" i="5"/>
  <c r="F319" i="5"/>
  <c r="H321" i="5"/>
  <c r="F321" i="5"/>
  <c r="H318" i="5"/>
  <c r="F318" i="5"/>
  <c r="H316" i="5"/>
  <c r="F316" i="5"/>
  <c r="F315" i="5" s="1"/>
  <c r="H327" i="5"/>
  <c r="F327" i="5"/>
  <c r="H312" i="5"/>
  <c r="F312" i="5"/>
  <c r="F311" i="5" s="1"/>
  <c r="H310" i="5"/>
  <c r="F310" i="5"/>
  <c r="F309" i="5" s="1"/>
  <c r="H308" i="5"/>
  <c r="F308" i="5"/>
  <c r="F307" i="5" s="1"/>
  <c r="H304" i="5"/>
  <c r="F304" i="5"/>
  <c r="F303" i="5" s="1"/>
  <c r="F302" i="5" s="1"/>
  <c r="H301" i="5"/>
  <c r="F301" i="5"/>
  <c r="F300" i="5" s="1"/>
  <c r="F299" i="5" s="1"/>
  <c r="H298" i="5"/>
  <c r="F298" i="5"/>
  <c r="F297" i="5" s="1"/>
  <c r="H294" i="5"/>
  <c r="F294" i="5"/>
  <c r="F293" i="5" s="1"/>
  <c r="F535" i="5"/>
  <c r="H498" i="5"/>
  <c r="F498" i="5"/>
  <c r="F496" i="5" s="1"/>
  <c r="F495" i="5" s="1"/>
  <c r="F494" i="5" s="1"/>
  <c r="F493" i="5" s="1"/>
  <c r="H248" i="5"/>
  <c r="F242" i="5"/>
  <c r="H168" i="5"/>
  <c r="H169" i="5"/>
  <c r="H170" i="5"/>
  <c r="J327" i="5" l="1"/>
  <c r="I327" i="5"/>
  <c r="J308" i="5"/>
  <c r="I308" i="5"/>
  <c r="J326" i="5"/>
  <c r="I326" i="5"/>
  <c r="J168" i="5"/>
  <c r="H496" i="5"/>
  <c r="J498" i="5"/>
  <c r="I498" i="5"/>
  <c r="J169" i="5"/>
  <c r="J301" i="5"/>
  <c r="I301" i="5"/>
  <c r="J312" i="5"/>
  <c r="I312" i="5"/>
  <c r="J321" i="5"/>
  <c r="I321" i="5"/>
  <c r="F534" i="5"/>
  <c r="F533" i="5" s="1"/>
  <c r="I535" i="5"/>
  <c r="J298" i="5"/>
  <c r="I298" i="5"/>
  <c r="J304" i="5"/>
  <c r="I304" i="5"/>
  <c r="J310" i="5"/>
  <c r="I310" i="5"/>
  <c r="I318" i="5"/>
  <c r="J318" i="5"/>
  <c r="J319" i="5"/>
  <c r="I319" i="5"/>
  <c r="J324" i="5"/>
  <c r="I324" i="5"/>
  <c r="J294" i="5"/>
  <c r="I294" i="5"/>
  <c r="J316" i="5"/>
  <c r="I316" i="5"/>
  <c r="J322" i="5"/>
  <c r="I322" i="5"/>
  <c r="J170" i="5"/>
  <c r="J248" i="5"/>
  <c r="H7" i="6"/>
  <c r="F27" i="11"/>
  <c r="H27" i="11" s="1"/>
  <c r="H28" i="11"/>
  <c r="F30" i="11"/>
  <c r="F349" i="5"/>
  <c r="I349" i="5" s="1"/>
  <c r="G207" i="4"/>
  <c r="H311" i="5"/>
  <c r="H309" i="5"/>
  <c r="H307" i="5"/>
  <c r="H303" i="5"/>
  <c r="H300" i="5"/>
  <c r="H297" i="5"/>
  <c r="H293" i="5"/>
  <c r="H534" i="5"/>
  <c r="H325" i="5"/>
  <c r="H323" i="5"/>
  <c r="H315" i="5"/>
  <c r="F306" i="5"/>
  <c r="H320" i="5"/>
  <c r="H317" i="5"/>
  <c r="F320" i="5"/>
  <c r="F317" i="5"/>
  <c r="H167" i="5"/>
  <c r="F292" i="5"/>
  <c r="H104" i="5"/>
  <c r="H190" i="5"/>
  <c r="H191" i="5"/>
  <c r="H192" i="5"/>
  <c r="F192" i="5"/>
  <c r="E150" i="4" s="1"/>
  <c r="F191" i="5"/>
  <c r="E149" i="4" s="1"/>
  <c r="F190" i="5"/>
  <c r="E148" i="4" s="1"/>
  <c r="G150" i="4" l="1"/>
  <c r="J192" i="5"/>
  <c r="I192" i="5"/>
  <c r="J317" i="5"/>
  <c r="I317" i="5"/>
  <c r="J323" i="5"/>
  <c r="I323" i="5"/>
  <c r="J297" i="5"/>
  <c r="I297" i="5"/>
  <c r="J309" i="5"/>
  <c r="I309" i="5"/>
  <c r="H495" i="5"/>
  <c r="J496" i="5"/>
  <c r="I496" i="5"/>
  <c r="J104" i="5"/>
  <c r="J315" i="5"/>
  <c r="I315" i="5"/>
  <c r="J307" i="5"/>
  <c r="I307" i="5"/>
  <c r="J167" i="5"/>
  <c r="J325" i="5"/>
  <c r="I325" i="5"/>
  <c r="J300" i="5"/>
  <c r="I300" i="5"/>
  <c r="J311" i="5"/>
  <c r="I311" i="5"/>
  <c r="J293" i="5"/>
  <c r="I293" i="5"/>
  <c r="J191" i="5"/>
  <c r="I191" i="5"/>
  <c r="J320" i="5"/>
  <c r="I320" i="5"/>
  <c r="G148" i="4"/>
  <c r="J190" i="5"/>
  <c r="I190" i="5"/>
  <c r="J534" i="5"/>
  <c r="I534" i="5"/>
  <c r="J303" i="5"/>
  <c r="I303" i="5"/>
  <c r="F29" i="11"/>
  <c r="H29" i="11" s="1"/>
  <c r="H30" i="11"/>
  <c r="H292" i="5"/>
  <c r="G149" i="4"/>
  <c r="H306" i="5"/>
  <c r="H302" i="5"/>
  <c r="H533" i="5"/>
  <c r="H314" i="5"/>
  <c r="F314" i="5"/>
  <c r="F189" i="5"/>
  <c r="H189" i="5"/>
  <c r="H286" i="5"/>
  <c r="F286" i="5"/>
  <c r="F285" i="5" s="1"/>
  <c r="F284" i="5" s="1"/>
  <c r="H280" i="5"/>
  <c r="F280" i="5"/>
  <c r="H277" i="5"/>
  <c r="F277" i="5"/>
  <c r="E237" i="4" s="1"/>
  <c r="H275" i="5"/>
  <c r="F275" i="5"/>
  <c r="F274" i="5" s="1"/>
  <c r="H272" i="5"/>
  <c r="H273" i="5"/>
  <c r="F273" i="5"/>
  <c r="E233" i="4" s="1"/>
  <c r="F272" i="5"/>
  <c r="H269" i="5"/>
  <c r="H270" i="5"/>
  <c r="F270" i="5"/>
  <c r="E230" i="4" s="1"/>
  <c r="F269" i="5"/>
  <c r="E229" i="4" s="1"/>
  <c r="H247" i="5"/>
  <c r="H242" i="5"/>
  <c r="F248" i="5"/>
  <c r="I248" i="5" s="1"/>
  <c r="D146" i="6"/>
  <c r="F240" i="5"/>
  <c r="E199" i="4" s="1"/>
  <c r="F239" i="5"/>
  <c r="I239" i="5" s="1"/>
  <c r="H240" i="5"/>
  <c r="H226" i="5"/>
  <c r="H227" i="5"/>
  <c r="H228" i="5"/>
  <c r="H229" i="5"/>
  <c r="F229" i="5"/>
  <c r="E188" i="4" s="1"/>
  <c r="F228" i="5"/>
  <c r="E187" i="4" s="1"/>
  <c r="F227" i="5"/>
  <c r="E186" i="4" s="1"/>
  <c r="F226" i="5"/>
  <c r="E185" i="4" s="1"/>
  <c r="F224" i="5"/>
  <c r="H219" i="5"/>
  <c r="H220" i="5"/>
  <c r="F220" i="5"/>
  <c r="E178" i="4" s="1"/>
  <c r="F219" i="5"/>
  <c r="E177" i="4" s="1"/>
  <c r="H217" i="5"/>
  <c r="F217" i="5"/>
  <c r="H212" i="5"/>
  <c r="H213" i="5"/>
  <c r="H215" i="5"/>
  <c r="F215" i="5"/>
  <c r="E173" i="4" s="1"/>
  <c r="F213" i="5"/>
  <c r="E171" i="4" s="1"/>
  <c r="F212" i="5"/>
  <c r="E170" i="4" s="1"/>
  <c r="H210" i="5"/>
  <c r="F210" i="5"/>
  <c r="E168" i="4" s="1"/>
  <c r="H208" i="5"/>
  <c r="F208" i="5"/>
  <c r="E166" i="4" s="1"/>
  <c r="H204" i="5"/>
  <c r="H205" i="5"/>
  <c r="H206" i="5"/>
  <c r="F206" i="5"/>
  <c r="E164" i="4" s="1"/>
  <c r="F205" i="5"/>
  <c r="E163" i="4" s="1"/>
  <c r="F204" i="5"/>
  <c r="E162" i="4" s="1"/>
  <c r="H202" i="5"/>
  <c r="F202" i="5"/>
  <c r="F195" i="5"/>
  <c r="E153" i="4" s="1"/>
  <c r="H195" i="5"/>
  <c r="H188" i="5"/>
  <c r="F188" i="5"/>
  <c r="F187" i="5" s="1"/>
  <c r="H183" i="5"/>
  <c r="H184" i="5"/>
  <c r="H186" i="5"/>
  <c r="F186" i="5"/>
  <c r="E144" i="4" s="1"/>
  <c r="F184" i="5"/>
  <c r="E142" i="4" s="1"/>
  <c r="F183" i="5"/>
  <c r="H181" i="5"/>
  <c r="F181" i="5"/>
  <c r="E139" i="4" s="1"/>
  <c r="H179" i="5"/>
  <c r="F179" i="5"/>
  <c r="H174" i="5"/>
  <c r="H175" i="5"/>
  <c r="H176" i="5"/>
  <c r="H177" i="5"/>
  <c r="F177" i="5"/>
  <c r="E135" i="4" s="1"/>
  <c r="F176" i="5"/>
  <c r="E134" i="4" s="1"/>
  <c r="F175" i="5"/>
  <c r="E133" i="4" s="1"/>
  <c r="F174" i="5"/>
  <c r="E132" i="4" s="1"/>
  <c r="H172" i="5"/>
  <c r="F172" i="5"/>
  <c r="E130" i="4" s="1"/>
  <c r="F170" i="5"/>
  <c r="I170" i="5" s="1"/>
  <c r="F169" i="5"/>
  <c r="I169" i="5" s="1"/>
  <c r="F168" i="5"/>
  <c r="I168" i="5" s="1"/>
  <c r="H165" i="5"/>
  <c r="F165" i="5"/>
  <c r="E123" i="4" s="1"/>
  <c r="F164" i="5"/>
  <c r="E122" i="4" s="1"/>
  <c r="H164" i="5"/>
  <c r="H161" i="5"/>
  <c r="F161" i="5"/>
  <c r="E119" i="4" s="1"/>
  <c r="H159" i="5"/>
  <c r="F159" i="5"/>
  <c r="E117" i="4" s="1"/>
  <c r="H154" i="5"/>
  <c r="H155" i="5"/>
  <c r="H156" i="5"/>
  <c r="H157" i="5"/>
  <c r="F157" i="5"/>
  <c r="E115" i="4" s="1"/>
  <c r="F156" i="5"/>
  <c r="E114" i="4" s="1"/>
  <c r="F155" i="5"/>
  <c r="E113" i="4" s="1"/>
  <c r="F154" i="5"/>
  <c r="E112" i="4" s="1"/>
  <c r="H145" i="5"/>
  <c r="H146" i="5"/>
  <c r="H149" i="5"/>
  <c r="H150" i="5"/>
  <c r="H151" i="5"/>
  <c r="H152" i="5"/>
  <c r="F152" i="5"/>
  <c r="E110" i="4" s="1"/>
  <c r="F151" i="5"/>
  <c r="E109" i="4" s="1"/>
  <c r="F150" i="5"/>
  <c r="E108" i="4" s="1"/>
  <c r="F149" i="5"/>
  <c r="E107" i="4" s="1"/>
  <c r="F147" i="5"/>
  <c r="E105" i="4" s="1"/>
  <c r="F146" i="5"/>
  <c r="E104" i="4" s="1"/>
  <c r="F145" i="5"/>
  <c r="E103" i="4" s="1"/>
  <c r="H139" i="5"/>
  <c r="H140" i="5"/>
  <c r="H141" i="5"/>
  <c r="H142" i="5"/>
  <c r="H143" i="5"/>
  <c r="F143" i="5"/>
  <c r="E101" i="4" s="1"/>
  <c r="F142" i="5"/>
  <c r="E100" i="4" s="1"/>
  <c r="F141" i="5"/>
  <c r="E99" i="4" s="1"/>
  <c r="F140" i="5"/>
  <c r="E98" i="4" s="1"/>
  <c r="F139" i="5"/>
  <c r="E97" i="4" s="1"/>
  <c r="H136" i="5"/>
  <c r="F136" i="5"/>
  <c r="H133" i="5"/>
  <c r="H134" i="5"/>
  <c r="F134" i="5"/>
  <c r="E92" i="4" s="1"/>
  <c r="F133" i="5"/>
  <c r="E91" i="4" s="1"/>
  <c r="H127" i="5"/>
  <c r="H128" i="5"/>
  <c r="H131" i="5"/>
  <c r="F131" i="5"/>
  <c r="F129" i="5"/>
  <c r="E87" i="4" s="1"/>
  <c r="F128" i="5"/>
  <c r="E86" i="4" s="1"/>
  <c r="F127" i="5"/>
  <c r="E85" i="4" s="1"/>
  <c r="F121" i="5"/>
  <c r="F120" i="5" s="1"/>
  <c r="F119" i="5" s="1"/>
  <c r="H113" i="5"/>
  <c r="H114" i="5"/>
  <c r="H115" i="5"/>
  <c r="H116" i="5"/>
  <c r="H117" i="5"/>
  <c r="H118" i="5"/>
  <c r="F118" i="5"/>
  <c r="E75" i="4" s="1"/>
  <c r="F117" i="5"/>
  <c r="E74" i="4" s="1"/>
  <c r="F116" i="5"/>
  <c r="E73" i="4" s="1"/>
  <c r="F115" i="5"/>
  <c r="E72" i="4" s="1"/>
  <c r="F114" i="5"/>
  <c r="E71" i="4" s="1"/>
  <c r="F113" i="5"/>
  <c r="E70" i="4" s="1"/>
  <c r="F110" i="5"/>
  <c r="H108" i="5"/>
  <c r="F108" i="5"/>
  <c r="H105" i="5"/>
  <c r="F105" i="5"/>
  <c r="E62" i="4" s="1"/>
  <c r="F104" i="5"/>
  <c r="I104" i="5" s="1"/>
  <c r="H98" i="5"/>
  <c r="F98" i="5"/>
  <c r="H94" i="5"/>
  <c r="F94" i="5"/>
  <c r="H92" i="5"/>
  <c r="F92" i="5"/>
  <c r="E232" i="4" s="1"/>
  <c r="H87" i="5"/>
  <c r="H88" i="5"/>
  <c r="F88" i="5"/>
  <c r="E225" i="4" s="1"/>
  <c r="F87" i="5"/>
  <c r="E224" i="4" s="1"/>
  <c r="H65" i="5"/>
  <c r="H52" i="5"/>
  <c r="H54" i="5"/>
  <c r="H15" i="5"/>
  <c r="F15" i="5"/>
  <c r="D553" i="6"/>
  <c r="D548" i="6"/>
  <c r="J242" i="5" l="1"/>
  <c r="I242" i="5"/>
  <c r="J142" i="5"/>
  <c r="I142" i="5"/>
  <c r="G103" i="4"/>
  <c r="J145" i="5"/>
  <c r="I145" i="5"/>
  <c r="G112" i="4"/>
  <c r="J154" i="5"/>
  <c r="I154" i="5"/>
  <c r="J165" i="5"/>
  <c r="I165" i="5"/>
  <c r="J175" i="5"/>
  <c r="I175" i="5"/>
  <c r="J213" i="5"/>
  <c r="I213" i="5"/>
  <c r="D145" i="6"/>
  <c r="G145" i="6" s="1"/>
  <c r="G146" i="6"/>
  <c r="J292" i="5"/>
  <c r="I292" i="5"/>
  <c r="D547" i="6"/>
  <c r="G547" i="6" s="1"/>
  <c r="G548" i="6"/>
  <c r="J54" i="5"/>
  <c r="I54" i="5"/>
  <c r="J92" i="5"/>
  <c r="I92" i="5"/>
  <c r="I98" i="5"/>
  <c r="J98" i="5"/>
  <c r="J115" i="5"/>
  <c r="I115" i="5"/>
  <c r="J131" i="5"/>
  <c r="I131" i="5"/>
  <c r="J136" i="5"/>
  <c r="I136" i="5"/>
  <c r="G99" i="4"/>
  <c r="J141" i="5"/>
  <c r="I141" i="5"/>
  <c r="J150" i="5"/>
  <c r="I150" i="5"/>
  <c r="J157" i="5"/>
  <c r="I157" i="5"/>
  <c r="G122" i="4"/>
  <c r="J164" i="5"/>
  <c r="I164" i="5"/>
  <c r="J172" i="5"/>
  <c r="I172" i="5"/>
  <c r="J174" i="5"/>
  <c r="I174" i="5"/>
  <c r="G139" i="4"/>
  <c r="J181" i="5"/>
  <c r="I181" i="5"/>
  <c r="G144" i="4"/>
  <c r="J186" i="5"/>
  <c r="I186" i="5"/>
  <c r="J188" i="5"/>
  <c r="I188" i="5"/>
  <c r="J202" i="5"/>
  <c r="I202" i="5"/>
  <c r="G164" i="4"/>
  <c r="J206" i="5"/>
  <c r="I206" i="5"/>
  <c r="G166" i="4"/>
  <c r="J208" i="5"/>
  <c r="I208" i="5"/>
  <c r="J212" i="5"/>
  <c r="I212" i="5"/>
  <c r="J229" i="5"/>
  <c r="I229" i="5"/>
  <c r="J240" i="5"/>
  <c r="I240" i="5"/>
  <c r="J275" i="5"/>
  <c r="I275" i="5"/>
  <c r="J280" i="5"/>
  <c r="I280" i="5"/>
  <c r="J302" i="5"/>
  <c r="I302" i="5"/>
  <c r="J105" i="5"/>
  <c r="I105" i="5"/>
  <c r="J116" i="5"/>
  <c r="I116" i="5"/>
  <c r="G109" i="4"/>
  <c r="J151" i="5"/>
  <c r="I151" i="5"/>
  <c r="J161" i="5"/>
  <c r="I161" i="5"/>
  <c r="I226" i="5"/>
  <c r="J226" i="5"/>
  <c r="J189" i="5"/>
  <c r="I189" i="5"/>
  <c r="J533" i="5"/>
  <c r="I533" i="5"/>
  <c r="H494" i="5"/>
  <c r="I495" i="5"/>
  <c r="J495" i="5"/>
  <c r="D552" i="6"/>
  <c r="G552" i="6" s="1"/>
  <c r="G553" i="6"/>
  <c r="J52" i="5"/>
  <c r="I52" i="5"/>
  <c r="J88" i="5"/>
  <c r="I88" i="5"/>
  <c r="J108" i="5"/>
  <c r="I108" i="5"/>
  <c r="J118" i="5"/>
  <c r="I118" i="5"/>
  <c r="J114" i="5"/>
  <c r="I114" i="5"/>
  <c r="J128" i="5"/>
  <c r="I128" i="5"/>
  <c r="J134" i="5"/>
  <c r="I134" i="5"/>
  <c r="J140" i="5"/>
  <c r="I140" i="5"/>
  <c r="G107" i="4"/>
  <c r="J149" i="5"/>
  <c r="I149" i="5"/>
  <c r="J156" i="5"/>
  <c r="I156" i="5"/>
  <c r="J159" i="5"/>
  <c r="I159" i="5"/>
  <c r="J177" i="5"/>
  <c r="I177" i="5"/>
  <c r="J184" i="5"/>
  <c r="I184" i="5"/>
  <c r="J195" i="5"/>
  <c r="I195" i="5"/>
  <c r="J205" i="5"/>
  <c r="I205" i="5"/>
  <c r="G178" i="4"/>
  <c r="J220" i="5"/>
  <c r="I220" i="5"/>
  <c r="J228" i="5"/>
  <c r="I228" i="5"/>
  <c r="J270" i="5"/>
  <c r="I270" i="5"/>
  <c r="J273" i="5"/>
  <c r="I273" i="5"/>
  <c r="J306" i="5"/>
  <c r="I306" i="5"/>
  <c r="J15" i="5"/>
  <c r="I15" i="5"/>
  <c r="J65" i="5"/>
  <c r="I65" i="5"/>
  <c r="J87" i="5"/>
  <c r="I87" i="5"/>
  <c r="J94" i="5"/>
  <c r="I94" i="5"/>
  <c r="J117" i="5"/>
  <c r="I117" i="5"/>
  <c r="J113" i="5"/>
  <c r="I113" i="5"/>
  <c r="G85" i="4"/>
  <c r="J127" i="5"/>
  <c r="I127" i="5"/>
  <c r="J133" i="5"/>
  <c r="I133" i="5"/>
  <c r="G101" i="4"/>
  <c r="J143" i="5"/>
  <c r="I143" i="5"/>
  <c r="G97" i="4"/>
  <c r="J139" i="5"/>
  <c r="I139" i="5"/>
  <c r="G110" i="4"/>
  <c r="J152" i="5"/>
  <c r="I152" i="5"/>
  <c r="I146" i="5"/>
  <c r="J146" i="5"/>
  <c r="G113" i="4"/>
  <c r="J155" i="5"/>
  <c r="I155" i="5"/>
  <c r="J176" i="5"/>
  <c r="I176" i="5"/>
  <c r="J179" i="5"/>
  <c r="I179" i="5"/>
  <c r="J183" i="5"/>
  <c r="I183" i="5"/>
  <c r="G162" i="4"/>
  <c r="J204" i="5"/>
  <c r="I204" i="5"/>
  <c r="I210" i="5"/>
  <c r="J210" i="5"/>
  <c r="J215" i="5"/>
  <c r="I215" i="5"/>
  <c r="J217" i="5"/>
  <c r="I217" i="5"/>
  <c r="J219" i="5"/>
  <c r="I219" i="5"/>
  <c r="J227" i="5"/>
  <c r="I227" i="5"/>
  <c r="J247" i="5"/>
  <c r="J269" i="5"/>
  <c r="I269" i="5"/>
  <c r="J272" i="5"/>
  <c r="I272" i="5"/>
  <c r="J277" i="5"/>
  <c r="I277" i="5"/>
  <c r="J286" i="5"/>
  <c r="I286" i="5"/>
  <c r="J314" i="5"/>
  <c r="I314" i="5"/>
  <c r="G237" i="4"/>
  <c r="G168" i="4"/>
  <c r="G142" i="4"/>
  <c r="G133" i="4"/>
  <c r="G132" i="4"/>
  <c r="G119" i="4"/>
  <c r="G117" i="4"/>
  <c r="G108" i="4"/>
  <c r="G91" i="4"/>
  <c r="G71" i="4"/>
  <c r="G70" i="4"/>
  <c r="G130" i="4"/>
  <c r="E126" i="4"/>
  <c r="G123" i="4"/>
  <c r="G115" i="4"/>
  <c r="G114" i="4"/>
  <c r="G86" i="4"/>
  <c r="H305" i="5"/>
  <c r="E246" i="4"/>
  <c r="G126" i="4"/>
  <c r="G246" i="4"/>
  <c r="G232" i="4"/>
  <c r="G225" i="4"/>
  <c r="G224" i="4"/>
  <c r="G61" i="4"/>
  <c r="G229" i="4"/>
  <c r="H182" i="5"/>
  <c r="E140" i="4"/>
  <c r="F182" i="5"/>
  <c r="E228" i="4"/>
  <c r="E121" i="4"/>
  <c r="F163" i="5"/>
  <c r="H163" i="5"/>
  <c r="E223" i="4"/>
  <c r="E235" i="4"/>
  <c r="E61" i="4"/>
  <c r="E60" i="4" s="1"/>
  <c r="H160" i="5"/>
  <c r="F171" i="5"/>
  <c r="F207" i="5"/>
  <c r="H279" i="5"/>
  <c r="G240" i="4"/>
  <c r="H97" i="5"/>
  <c r="F107" i="5"/>
  <c r="E65" i="4"/>
  <c r="G72" i="4"/>
  <c r="H130" i="5"/>
  <c r="G89" i="4"/>
  <c r="H135" i="5"/>
  <c r="G94" i="4"/>
  <c r="F158" i="5"/>
  <c r="H171" i="5"/>
  <c r="H180" i="5"/>
  <c r="H187" i="5"/>
  <c r="H201" i="5"/>
  <c r="G160" i="4"/>
  <c r="H207" i="5"/>
  <c r="G170" i="4"/>
  <c r="G188" i="4"/>
  <c r="H238" i="5"/>
  <c r="G199" i="4"/>
  <c r="G230" i="4"/>
  <c r="G233" i="4"/>
  <c r="F276" i="5"/>
  <c r="F130" i="5"/>
  <c r="E89" i="4"/>
  <c r="F135" i="5"/>
  <c r="E94" i="4"/>
  <c r="G100" i="4"/>
  <c r="F180" i="5"/>
  <c r="F201" i="5"/>
  <c r="E160" i="4"/>
  <c r="H244" i="5"/>
  <c r="E79" i="4"/>
  <c r="E146" i="4"/>
  <c r="H107" i="5"/>
  <c r="G65" i="4"/>
  <c r="G64" i="4" s="1"/>
  <c r="G75" i="4"/>
  <c r="G92" i="4"/>
  <c r="G98" i="4"/>
  <c r="H158" i="5"/>
  <c r="G135" i="4"/>
  <c r="F178" i="5"/>
  <c r="E137" i="4"/>
  <c r="H194" i="5"/>
  <c r="G153" i="4"/>
  <c r="G163" i="4"/>
  <c r="F209" i="5"/>
  <c r="F216" i="5"/>
  <c r="E175" i="4"/>
  <c r="G187" i="4"/>
  <c r="E198" i="4"/>
  <c r="F247" i="5"/>
  <c r="F244" i="5" s="1"/>
  <c r="E207" i="4"/>
  <c r="H276" i="5"/>
  <c r="H285" i="5"/>
  <c r="H103" i="5"/>
  <c r="G73" i="4"/>
  <c r="G171" i="4"/>
  <c r="F223" i="5"/>
  <c r="E182" i="4"/>
  <c r="G185" i="4"/>
  <c r="H274" i="5"/>
  <c r="G235" i="4"/>
  <c r="F109" i="5"/>
  <c r="E67" i="4"/>
  <c r="G74" i="4"/>
  <c r="H112" i="5"/>
  <c r="G104" i="4"/>
  <c r="F160" i="5"/>
  <c r="G134" i="4"/>
  <c r="H178" i="5"/>
  <c r="G137" i="4"/>
  <c r="H209" i="5"/>
  <c r="G173" i="4"/>
  <c r="H216" i="5"/>
  <c r="G175" i="4"/>
  <c r="G177" i="4"/>
  <c r="G186" i="4"/>
  <c r="F279" i="5"/>
  <c r="F278" i="5" s="1"/>
  <c r="E240" i="4"/>
  <c r="G146" i="4"/>
  <c r="G127" i="4"/>
  <c r="G128" i="4"/>
  <c r="H14" i="5"/>
  <c r="E127" i="4"/>
  <c r="E128" i="4"/>
  <c r="G62" i="4"/>
  <c r="H132" i="5"/>
  <c r="H51" i="5"/>
  <c r="F132" i="5"/>
  <c r="H271" i="5"/>
  <c r="F194" i="5"/>
  <c r="F193" i="5" s="1"/>
  <c r="H218" i="5"/>
  <c r="H268" i="5"/>
  <c r="H138" i="5"/>
  <c r="F271" i="5"/>
  <c r="F268" i="5"/>
  <c r="F218" i="5"/>
  <c r="F238" i="5"/>
  <c r="F237" i="5" s="1"/>
  <c r="F225" i="5"/>
  <c r="H225" i="5"/>
  <c r="H211" i="5"/>
  <c r="F211" i="5"/>
  <c r="H203" i="5"/>
  <c r="F203" i="5"/>
  <c r="H173" i="5"/>
  <c r="F173" i="5"/>
  <c r="F167" i="5"/>
  <c r="I167" i="5" s="1"/>
  <c r="F153" i="5"/>
  <c r="H153" i="5"/>
  <c r="H148" i="5"/>
  <c r="F148" i="5"/>
  <c r="F144" i="5"/>
  <c r="F138" i="5"/>
  <c r="F103" i="5"/>
  <c r="F112" i="5"/>
  <c r="F111" i="5" s="1"/>
  <c r="D20" i="6"/>
  <c r="G20" i="6" s="1"/>
  <c r="I247" i="5" l="1"/>
  <c r="J225" i="5"/>
  <c r="I225" i="5"/>
  <c r="J51" i="5"/>
  <c r="J276" i="5"/>
  <c r="I276" i="5"/>
  <c r="J97" i="5"/>
  <c r="J305" i="5"/>
  <c r="J203" i="5"/>
  <c r="I203" i="5"/>
  <c r="J132" i="5"/>
  <c r="I132" i="5"/>
  <c r="J14" i="5"/>
  <c r="J187" i="5"/>
  <c r="I187" i="5"/>
  <c r="J160" i="5"/>
  <c r="I160" i="5"/>
  <c r="J163" i="5"/>
  <c r="I163" i="5"/>
  <c r="J218" i="5"/>
  <c r="I218" i="5"/>
  <c r="J201" i="5"/>
  <c r="I201" i="5"/>
  <c r="J148" i="5"/>
  <c r="I148" i="5"/>
  <c r="J138" i="5"/>
  <c r="I138" i="5"/>
  <c r="J216" i="5"/>
  <c r="I216" i="5"/>
  <c r="J103" i="5"/>
  <c r="I103" i="5"/>
  <c r="I194" i="5"/>
  <c r="J194" i="5"/>
  <c r="J244" i="5"/>
  <c r="I244" i="5"/>
  <c r="J207" i="5"/>
  <c r="I207" i="5"/>
  <c r="J180" i="5"/>
  <c r="I180" i="5"/>
  <c r="J135" i="5"/>
  <c r="I135" i="5"/>
  <c r="J279" i="5"/>
  <c r="I279" i="5"/>
  <c r="H493" i="5"/>
  <c r="J494" i="5"/>
  <c r="I494" i="5"/>
  <c r="J209" i="5"/>
  <c r="I209" i="5"/>
  <c r="J274" i="5"/>
  <c r="I274" i="5"/>
  <c r="I130" i="5"/>
  <c r="J130" i="5"/>
  <c r="J271" i="5"/>
  <c r="I271" i="5"/>
  <c r="J158" i="5"/>
  <c r="I158" i="5"/>
  <c r="J153" i="5"/>
  <c r="I153" i="5"/>
  <c r="J173" i="5"/>
  <c r="I173" i="5"/>
  <c r="J211" i="5"/>
  <c r="I211" i="5"/>
  <c r="J268" i="5"/>
  <c r="I268" i="5"/>
  <c r="J178" i="5"/>
  <c r="I178" i="5"/>
  <c r="J112" i="5"/>
  <c r="I112" i="5"/>
  <c r="J285" i="5"/>
  <c r="I285" i="5"/>
  <c r="J107" i="5"/>
  <c r="I107" i="5"/>
  <c r="J238" i="5"/>
  <c r="I238" i="5"/>
  <c r="J171" i="5"/>
  <c r="I171" i="5"/>
  <c r="J182" i="5"/>
  <c r="I182" i="5"/>
  <c r="G121" i="4"/>
  <c r="G223" i="4"/>
  <c r="G60" i="4"/>
  <c r="F222" i="5"/>
  <c r="F221" i="5" s="1"/>
  <c r="F102" i="5"/>
  <c r="F101" i="5" s="1"/>
  <c r="G69" i="4"/>
  <c r="G68" i="4" s="1"/>
  <c r="H96" i="5"/>
  <c r="H278" i="5"/>
  <c r="H193" i="5"/>
  <c r="F262" i="5"/>
  <c r="H111" i="5"/>
  <c r="H284" i="5"/>
  <c r="H262" i="5"/>
  <c r="H237" i="5"/>
  <c r="H13" i="5"/>
  <c r="H162" i="5"/>
  <c r="F162" i="5"/>
  <c r="F200" i="5"/>
  <c r="H200" i="5"/>
  <c r="F137" i="5"/>
  <c r="D716" i="6"/>
  <c r="G716" i="6" s="1"/>
  <c r="D714" i="6"/>
  <c r="G714" i="6" s="1"/>
  <c r="D712" i="6"/>
  <c r="G712" i="6" s="1"/>
  <c r="D707" i="6"/>
  <c r="G707" i="6" s="1"/>
  <c r="D704" i="6"/>
  <c r="G704" i="6" s="1"/>
  <c r="D701" i="6"/>
  <c r="G701" i="6" s="1"/>
  <c r="D697" i="6"/>
  <c r="G697" i="6" s="1"/>
  <c r="D695" i="6"/>
  <c r="G695" i="6" s="1"/>
  <c r="D693" i="6"/>
  <c r="G693" i="6" s="1"/>
  <c r="D691" i="6"/>
  <c r="G691" i="6" s="1"/>
  <c r="D676" i="6"/>
  <c r="G676" i="6" s="1"/>
  <c r="D682" i="6"/>
  <c r="G682" i="6" s="1"/>
  <c r="D629" i="6"/>
  <c r="G629" i="6" s="1"/>
  <c r="D627" i="6"/>
  <c r="G627" i="6" s="1"/>
  <c r="D625" i="6"/>
  <c r="G625" i="6" s="1"/>
  <c r="D634" i="6"/>
  <c r="G634" i="6" s="1"/>
  <c r="D636" i="6"/>
  <c r="G636" i="6" s="1"/>
  <c r="D617" i="6"/>
  <c r="G617" i="6" s="1"/>
  <c r="D614" i="6"/>
  <c r="J13" i="5" l="1"/>
  <c r="J111" i="5"/>
  <c r="I111" i="5"/>
  <c r="J96" i="5"/>
  <c r="J237" i="5"/>
  <c r="I237" i="5"/>
  <c r="J493" i="5"/>
  <c r="I493" i="5"/>
  <c r="D613" i="6"/>
  <c r="G613" i="6" s="1"/>
  <c r="G614" i="6"/>
  <c r="J200" i="5"/>
  <c r="I200" i="5"/>
  <c r="J262" i="5"/>
  <c r="I262" i="5"/>
  <c r="J193" i="5"/>
  <c r="I193" i="5"/>
  <c r="I162" i="5"/>
  <c r="J162" i="5"/>
  <c r="J284" i="5"/>
  <c r="I284" i="5"/>
  <c r="I278" i="5"/>
  <c r="J278" i="5"/>
  <c r="D699" i="6"/>
  <c r="G699" i="6" s="1"/>
  <c r="D711" i="6"/>
  <c r="G711" i="6" s="1"/>
  <c r="H236" i="5"/>
  <c r="H95" i="5"/>
  <c r="D680" i="6"/>
  <c r="G680" i="6" s="1"/>
  <c r="D706" i="6"/>
  <c r="G706" i="6" s="1"/>
  <c r="D673" i="6"/>
  <c r="G673" i="6" s="1"/>
  <c r="D690" i="6"/>
  <c r="G690" i="6" s="1"/>
  <c r="D624" i="6"/>
  <c r="G624" i="6" s="1"/>
  <c r="D633" i="6"/>
  <c r="G633" i="6" s="1"/>
  <c r="D616" i="6"/>
  <c r="G616" i="6" s="1"/>
  <c r="D621" i="6"/>
  <c r="D594" i="6"/>
  <c r="D589" i="6"/>
  <c r="D567" i="6"/>
  <c r="D572" i="6"/>
  <c r="D537" i="6"/>
  <c r="G537" i="6" s="1"/>
  <c r="D535" i="6"/>
  <c r="G535" i="6" s="1"/>
  <c r="D530" i="6"/>
  <c r="G530" i="6" s="1"/>
  <c r="D541" i="6"/>
  <c r="D525" i="6"/>
  <c r="G525" i="6" s="1"/>
  <c r="D519" i="6"/>
  <c r="G519" i="6" s="1"/>
  <c r="D395" i="6"/>
  <c r="D364" i="6"/>
  <c r="G364" i="6" s="1"/>
  <c r="D309" i="6"/>
  <c r="D302" i="6"/>
  <c r="D256" i="6"/>
  <c r="D226" i="6"/>
  <c r="G226" i="6" s="1"/>
  <c r="D249" i="6"/>
  <c r="G249" i="6" s="1"/>
  <c r="D246" i="6"/>
  <c r="G246" i="6" s="1"/>
  <c r="D244" i="6"/>
  <c r="G244" i="6" s="1"/>
  <c r="D237" i="6"/>
  <c r="G237" i="6" s="1"/>
  <c r="D229" i="6"/>
  <c r="G229" i="6" s="1"/>
  <c r="D224" i="6"/>
  <c r="G224" i="6" s="1"/>
  <c r="D220" i="6"/>
  <c r="G220" i="6" s="1"/>
  <c r="D218" i="6"/>
  <c r="G218" i="6" s="1"/>
  <c r="D216" i="6"/>
  <c r="G216" i="6" s="1"/>
  <c r="D212" i="6"/>
  <c r="D209" i="6"/>
  <c r="D206" i="6"/>
  <c r="G206" i="6" s="1"/>
  <c r="D202" i="6"/>
  <c r="G202" i="6" s="1"/>
  <c r="D194" i="6"/>
  <c r="D188" i="6"/>
  <c r="G188" i="6" s="1"/>
  <c r="D185" i="6"/>
  <c r="G185" i="6" s="1"/>
  <c r="D183" i="6"/>
  <c r="G183" i="6" s="1"/>
  <c r="D166" i="6"/>
  <c r="D180" i="6"/>
  <c r="G180" i="6" s="1"/>
  <c r="D177" i="6"/>
  <c r="G177" i="6" s="1"/>
  <c r="D172" i="6"/>
  <c r="G172" i="6" s="1"/>
  <c r="D150" i="6"/>
  <c r="D131" i="6"/>
  <c r="G131" i="6" s="1"/>
  <c r="D134" i="6"/>
  <c r="G134" i="6" s="1"/>
  <c r="D126" i="6"/>
  <c r="G126" i="6" s="1"/>
  <c r="D124" i="6"/>
  <c r="G124" i="6" s="1"/>
  <c r="D119" i="6"/>
  <c r="G119" i="6" s="1"/>
  <c r="D117" i="6"/>
  <c r="G117" i="6" s="1"/>
  <c r="D115" i="6"/>
  <c r="G115" i="6" s="1"/>
  <c r="D111" i="6"/>
  <c r="G111" i="6" s="1"/>
  <c r="D109" i="6"/>
  <c r="G109" i="6" s="1"/>
  <c r="D102" i="6"/>
  <c r="D97" i="6"/>
  <c r="G97" i="6" s="1"/>
  <c r="D95" i="6"/>
  <c r="G95" i="6" s="1"/>
  <c r="D90" i="6"/>
  <c r="G90" i="6" s="1"/>
  <c r="D88" i="6"/>
  <c r="G88" i="6" s="1"/>
  <c r="D86" i="6"/>
  <c r="G86" i="6" s="1"/>
  <c r="D81" i="6"/>
  <c r="G81" i="6" s="1"/>
  <c r="D79" i="6"/>
  <c r="G79" i="6" s="1"/>
  <c r="D75" i="6"/>
  <c r="G75" i="6" s="1"/>
  <c r="D68" i="6"/>
  <c r="G68" i="6" s="1"/>
  <c r="D66" i="6"/>
  <c r="G66" i="6" s="1"/>
  <c r="D61" i="6"/>
  <c r="G61" i="6" s="1"/>
  <c r="D56" i="6"/>
  <c r="G56" i="6" s="1"/>
  <c r="D52" i="6"/>
  <c r="G52" i="6" s="1"/>
  <c r="D46" i="6"/>
  <c r="G46" i="6" s="1"/>
  <c r="D43" i="6"/>
  <c r="G43" i="6" s="1"/>
  <c r="D40" i="6"/>
  <c r="G40" i="6" s="1"/>
  <c r="D38" i="6"/>
  <c r="G38" i="6" s="1"/>
  <c r="D34" i="6"/>
  <c r="G34" i="6" s="1"/>
  <c r="D28" i="6"/>
  <c r="G28" i="6" s="1"/>
  <c r="D19" i="6"/>
  <c r="G19" i="6" s="1"/>
  <c r="D17" i="6"/>
  <c r="G17" i="6" s="1"/>
  <c r="D15" i="6"/>
  <c r="G15" i="6" s="1"/>
  <c r="D11" i="6"/>
  <c r="G11" i="6" s="1"/>
  <c r="H84" i="1"/>
  <c r="H55" i="1"/>
  <c r="H47" i="1"/>
  <c r="H51" i="1"/>
  <c r="H78" i="1"/>
  <c r="F78" i="1"/>
  <c r="F77" i="1" s="1"/>
  <c r="F76" i="1" s="1"/>
  <c r="F67" i="1"/>
  <c r="H60" i="1"/>
  <c r="F60" i="1"/>
  <c r="F59" i="1" s="1"/>
  <c r="F55" i="1"/>
  <c r="F54" i="1" s="1"/>
  <c r="F51" i="1"/>
  <c r="F50" i="1" s="1"/>
  <c r="G43" i="2"/>
  <c r="E43" i="2"/>
  <c r="F41" i="1"/>
  <c r="F84" i="1"/>
  <c r="F83" i="1" s="1"/>
  <c r="H31" i="1"/>
  <c r="F31" i="1"/>
  <c r="F30" i="1" s="1"/>
  <c r="F26" i="1"/>
  <c r="H23" i="1"/>
  <c r="F23" i="1"/>
  <c r="F22" i="1" s="1"/>
  <c r="D208" i="6" l="1"/>
  <c r="G208" i="6" s="1"/>
  <c r="G209" i="6"/>
  <c r="D255" i="6"/>
  <c r="G255" i="6" s="1"/>
  <c r="G256" i="6"/>
  <c r="D392" i="6"/>
  <c r="G392" i="6" s="1"/>
  <c r="G395" i="6"/>
  <c r="D566" i="6"/>
  <c r="G566" i="6" s="1"/>
  <c r="G567" i="6"/>
  <c r="J236" i="5"/>
  <c r="D149" i="6"/>
  <c r="G149" i="6" s="1"/>
  <c r="G150" i="6"/>
  <c r="D165" i="6"/>
  <c r="G165" i="6" s="1"/>
  <c r="G166" i="6"/>
  <c r="D193" i="6"/>
  <c r="G193" i="6" s="1"/>
  <c r="G194" i="6"/>
  <c r="D211" i="6"/>
  <c r="G211" i="6" s="1"/>
  <c r="G212" i="6"/>
  <c r="D301" i="6"/>
  <c r="G301" i="6" s="1"/>
  <c r="G302" i="6"/>
  <c r="D588" i="6"/>
  <c r="G588" i="6" s="1"/>
  <c r="G589" i="6"/>
  <c r="D101" i="6"/>
  <c r="G101" i="6" s="1"/>
  <c r="G102" i="6"/>
  <c r="D540" i="6"/>
  <c r="G541" i="6"/>
  <c r="D571" i="6"/>
  <c r="G571" i="6" s="1"/>
  <c r="G572" i="6"/>
  <c r="D620" i="6"/>
  <c r="G620" i="6" s="1"/>
  <c r="G621" i="6"/>
  <c r="J95" i="5"/>
  <c r="D308" i="6"/>
  <c r="G308" i="6" s="1"/>
  <c r="G309" i="6"/>
  <c r="D593" i="6"/>
  <c r="G593" i="6" s="1"/>
  <c r="G594" i="6"/>
  <c r="H50" i="1"/>
  <c r="H46" i="1" s="1"/>
  <c r="H59" i="1"/>
  <c r="D130" i="6"/>
  <c r="D529" i="6"/>
  <c r="D10" i="6"/>
  <c r="G10" i="6" s="1"/>
  <c r="D27" i="6"/>
  <c r="G27" i="6" s="1"/>
  <c r="D710" i="6"/>
  <c r="G710" i="6" s="1"/>
  <c r="H77" i="1"/>
  <c r="H41" i="1"/>
  <c r="H54" i="1"/>
  <c r="H83" i="1"/>
  <c r="H22" i="1"/>
  <c r="H30" i="1"/>
  <c r="H67" i="1"/>
  <c r="D689" i="6"/>
  <c r="G689" i="6" s="1"/>
  <c r="D518" i="6"/>
  <c r="G518" i="6" s="1"/>
  <c r="D201" i="6"/>
  <c r="D235" i="6"/>
  <c r="G235" i="6" s="1"/>
  <c r="D223" i="6"/>
  <c r="G223" i="6" s="1"/>
  <c r="D215" i="6"/>
  <c r="G215" i="6" s="1"/>
  <c r="D171" i="6"/>
  <c r="G171" i="6" s="1"/>
  <c r="D108" i="6"/>
  <c r="G108" i="6" s="1"/>
  <c r="D70" i="6"/>
  <c r="G70" i="6" s="1"/>
  <c r="D45" i="6"/>
  <c r="G45" i="6" s="1"/>
  <c r="D33" i="6"/>
  <c r="G33" i="6" s="1"/>
  <c r="F13" i="1"/>
  <c r="F11" i="1"/>
  <c r="D528" i="6" l="1"/>
  <c r="G529" i="6"/>
  <c r="D129" i="6"/>
  <c r="G129" i="6" s="1"/>
  <c r="G130" i="6"/>
  <c r="D200" i="6"/>
  <c r="G200" i="6" s="1"/>
  <c r="G201" i="6"/>
  <c r="D539" i="6"/>
  <c r="G539" i="6" s="1"/>
  <c r="G540" i="6"/>
  <c r="F11" i="11"/>
  <c r="H11" i="11" s="1"/>
  <c r="D9" i="6"/>
  <c r="G9" i="6" s="1"/>
  <c r="H66" i="1"/>
  <c r="H82" i="1"/>
  <c r="H40" i="1"/>
  <c r="H58" i="1"/>
  <c r="F10" i="1"/>
  <c r="F9" i="1" s="1"/>
  <c r="H53" i="1"/>
  <c r="H76" i="1"/>
  <c r="D214" i="6"/>
  <c r="G214" i="6" s="1"/>
  <c r="D32" i="6"/>
  <c r="G32" i="6" s="1"/>
  <c r="E42" i="2"/>
  <c r="E41" i="2" s="1"/>
  <c r="G42" i="2"/>
  <c r="G41" i="2" s="1"/>
  <c r="G201" i="4"/>
  <c r="D527" i="6" l="1"/>
  <c r="G527" i="6" s="1"/>
  <c r="G528" i="6"/>
  <c r="F12" i="11"/>
  <c r="H12" i="11" s="1"/>
  <c r="F13" i="11"/>
  <c r="H13" i="11" s="1"/>
  <c r="G192" i="4"/>
  <c r="G191" i="4" s="1"/>
  <c r="G215" i="4"/>
  <c r="G217" i="4"/>
  <c r="G220" i="4"/>
  <c r="G241" i="4"/>
  <c r="G247" i="4"/>
  <c r="H21" i="5"/>
  <c r="H64" i="5"/>
  <c r="H86" i="5"/>
  <c r="H91" i="5"/>
  <c r="H93" i="5"/>
  <c r="H110" i="5"/>
  <c r="H121" i="5"/>
  <c r="H129" i="5"/>
  <c r="G93" i="4"/>
  <c r="H147" i="5"/>
  <c r="G118" i="4"/>
  <c r="G129" i="4"/>
  <c r="G131" i="4"/>
  <c r="G136" i="4"/>
  <c r="G167" i="4"/>
  <c r="G169" i="4"/>
  <c r="G174" i="4"/>
  <c r="G176" i="4"/>
  <c r="H224" i="5"/>
  <c r="H299" i="5"/>
  <c r="H408" i="5"/>
  <c r="H417" i="5"/>
  <c r="H419" i="5"/>
  <c r="G69" i="2"/>
  <c r="G68" i="2" s="1"/>
  <c r="G67" i="2" s="1"/>
  <c r="G66" i="2" s="1"/>
  <c r="E69" i="2"/>
  <c r="E68" i="2" s="1"/>
  <c r="E67" i="2" s="1"/>
  <c r="G65" i="2"/>
  <c r="G64" i="2" s="1"/>
  <c r="G63" i="2" s="1"/>
  <c r="E65" i="2"/>
  <c r="E64" i="2" s="1"/>
  <c r="E63" i="2" s="1"/>
  <c r="G62" i="2"/>
  <c r="G61" i="2" s="1"/>
  <c r="E62" i="2"/>
  <c r="E61" i="2" s="1"/>
  <c r="G60" i="2"/>
  <c r="G59" i="2" s="1"/>
  <c r="E60" i="2"/>
  <c r="E59" i="2" s="1"/>
  <c r="G55" i="2"/>
  <c r="G54" i="2" s="1"/>
  <c r="E55" i="2"/>
  <c r="E54" i="2" s="1"/>
  <c r="G51" i="2"/>
  <c r="G50" i="2" s="1"/>
  <c r="E51" i="2"/>
  <c r="G49" i="2"/>
  <c r="E49" i="2"/>
  <c r="G35" i="2"/>
  <c r="G34" i="2" s="1"/>
  <c r="E35" i="2"/>
  <c r="E34" i="2" s="1"/>
  <c r="G29" i="2"/>
  <c r="G28" i="2" s="1"/>
  <c r="E29" i="2"/>
  <c r="E28" i="2" s="1"/>
  <c r="G24" i="2"/>
  <c r="G23" i="2" s="1"/>
  <c r="G22" i="2" s="1"/>
  <c r="E24" i="2"/>
  <c r="G21" i="2"/>
  <c r="G20" i="2" s="1"/>
  <c r="G19" i="2" s="1"/>
  <c r="E21" i="2"/>
  <c r="F419" i="5"/>
  <c r="F417" i="5"/>
  <c r="F402" i="5"/>
  <c r="I402" i="5" s="1"/>
  <c r="F399" i="5"/>
  <c r="I399" i="5" s="1"/>
  <c r="F340" i="5"/>
  <c r="I340" i="5" s="1"/>
  <c r="E239" i="4"/>
  <c r="E238" i="4" s="1"/>
  <c r="E206" i="4"/>
  <c r="E203" i="4" s="1"/>
  <c r="E197" i="4"/>
  <c r="E196" i="4" s="1"/>
  <c r="E195" i="4" s="1"/>
  <c r="D44" i="11" s="1"/>
  <c r="E184" i="4"/>
  <c r="E181" i="4"/>
  <c r="E176" i="4"/>
  <c r="E174" i="4"/>
  <c r="E169" i="4"/>
  <c r="E167" i="4"/>
  <c r="E159" i="4"/>
  <c r="E136" i="4"/>
  <c r="E131" i="4"/>
  <c r="E129" i="4"/>
  <c r="E118" i="4"/>
  <c r="E93" i="4"/>
  <c r="F126" i="5"/>
  <c r="F125" i="5" s="1"/>
  <c r="F124" i="5" s="1"/>
  <c r="E64" i="4"/>
  <c r="F97" i="5"/>
  <c r="I97" i="5" s="1"/>
  <c r="F93" i="5"/>
  <c r="F91" i="5"/>
  <c r="F86" i="5"/>
  <c r="F64" i="5"/>
  <c r="F51" i="5"/>
  <c r="I51" i="5" s="1"/>
  <c r="F21" i="5"/>
  <c r="F20" i="5" s="1"/>
  <c r="F14" i="5"/>
  <c r="I14" i="5" s="1"/>
  <c r="H233" i="5"/>
  <c r="H257" i="5"/>
  <c r="H259" i="5"/>
  <c r="H281" i="5"/>
  <c r="H287" i="5"/>
  <c r="H360" i="5"/>
  <c r="H366" i="5"/>
  <c r="H369" i="5"/>
  <c r="H371" i="5"/>
  <c r="H376" i="5"/>
  <c r="H379" i="5"/>
  <c r="H391" i="5"/>
  <c r="H393" i="5"/>
  <c r="H470" i="5"/>
  <c r="H473" i="5"/>
  <c r="H475" i="5"/>
  <c r="H479" i="5"/>
  <c r="H483" i="5"/>
  <c r="H485" i="5"/>
  <c r="H490" i="5"/>
  <c r="H508" i="5"/>
  <c r="H523" i="5"/>
  <c r="H531" i="5"/>
  <c r="H536" i="5"/>
  <c r="J531" i="5" l="1"/>
  <c r="J473" i="5"/>
  <c r="I473" i="5"/>
  <c r="J379" i="5"/>
  <c r="J366" i="5"/>
  <c r="I366" i="5"/>
  <c r="J259" i="5"/>
  <c r="I483" i="5"/>
  <c r="J483" i="5"/>
  <c r="J470" i="5"/>
  <c r="J376" i="5"/>
  <c r="I376" i="5"/>
  <c r="J360" i="5"/>
  <c r="J257" i="5"/>
  <c r="J485" i="5"/>
  <c r="I508" i="5"/>
  <c r="J508" i="5"/>
  <c r="J479" i="5"/>
  <c r="J393" i="5"/>
  <c r="J287" i="5"/>
  <c r="J233" i="5"/>
  <c r="I233" i="5"/>
  <c r="J371" i="5"/>
  <c r="J536" i="5"/>
  <c r="J490" i="5"/>
  <c r="J475" i="5"/>
  <c r="J391" i="5"/>
  <c r="I369" i="5"/>
  <c r="J369" i="5"/>
  <c r="J281" i="5"/>
  <c r="J417" i="5"/>
  <c r="I417" i="5"/>
  <c r="J147" i="5"/>
  <c r="I147" i="5"/>
  <c r="J110" i="5"/>
  <c r="I110" i="5"/>
  <c r="J64" i="5"/>
  <c r="I64" i="5"/>
  <c r="I21" i="5"/>
  <c r="J21" i="5"/>
  <c r="J299" i="5"/>
  <c r="I299" i="5"/>
  <c r="H126" i="5"/>
  <c r="J129" i="5"/>
  <c r="I129" i="5"/>
  <c r="J91" i="5"/>
  <c r="I91" i="5"/>
  <c r="I523" i="5"/>
  <c r="J523" i="5"/>
  <c r="J408" i="5"/>
  <c r="I408" i="5"/>
  <c r="J93" i="5"/>
  <c r="I93" i="5"/>
  <c r="J419" i="5"/>
  <c r="I419" i="5"/>
  <c r="J224" i="5"/>
  <c r="I224" i="5"/>
  <c r="J121" i="5"/>
  <c r="I121" i="5"/>
  <c r="J86" i="5"/>
  <c r="I86" i="5"/>
  <c r="H48" i="5"/>
  <c r="F48" i="5"/>
  <c r="F23" i="5" s="1"/>
  <c r="H412" i="5"/>
  <c r="G87" i="4"/>
  <c r="G84" i="4" s="1"/>
  <c r="F10" i="11"/>
  <c r="H10" i="11" s="1"/>
  <c r="H519" i="5"/>
  <c r="H241" i="5"/>
  <c r="E180" i="4"/>
  <c r="E179" i="4" s="1"/>
  <c r="D43" i="11" s="1"/>
  <c r="F85" i="5"/>
  <c r="F84" i="5" s="1"/>
  <c r="H85" i="5"/>
  <c r="H365" i="5"/>
  <c r="H375" i="5"/>
  <c r="H507" i="5"/>
  <c r="H283" i="5"/>
  <c r="H489" i="5"/>
  <c r="H256" i="5"/>
  <c r="H359" i="5"/>
  <c r="H261" i="5"/>
  <c r="H232" i="5"/>
  <c r="H109" i="5"/>
  <c r="G67" i="4"/>
  <c r="G66" i="4" s="1"/>
  <c r="G59" i="4" s="1"/>
  <c r="F13" i="5"/>
  <c r="I13" i="5" s="1"/>
  <c r="F96" i="5"/>
  <c r="I96" i="5" s="1"/>
  <c r="H223" i="5"/>
  <c r="G182" i="4"/>
  <c r="G181" i="4" s="1"/>
  <c r="H120" i="5"/>
  <c r="G79" i="4"/>
  <c r="G78" i="4" s="1"/>
  <c r="G76" i="4" s="1"/>
  <c r="H291" i="5"/>
  <c r="H397" i="5"/>
  <c r="H20" i="5"/>
  <c r="H144" i="5"/>
  <c r="G105" i="4"/>
  <c r="G102" i="4" s="1"/>
  <c r="F398" i="5"/>
  <c r="I398" i="5" s="1"/>
  <c r="H378" i="5"/>
  <c r="E138" i="4"/>
  <c r="F329" i="5"/>
  <c r="H368" i="5"/>
  <c r="H530" i="5"/>
  <c r="H469" i="5"/>
  <c r="H478" i="5"/>
  <c r="E234" i="4"/>
  <c r="E102" i="4"/>
  <c r="E161" i="4"/>
  <c r="E125" i="4"/>
  <c r="E66" i="4"/>
  <c r="E88" i="4"/>
  <c r="E69" i="4"/>
  <c r="E68" i="4" s="1"/>
  <c r="E90" i="4"/>
  <c r="E106" i="4"/>
  <c r="G138" i="4"/>
  <c r="G111" i="4"/>
  <c r="E245" i="4"/>
  <c r="E244" i="4" s="1"/>
  <c r="E147" i="4"/>
  <c r="E165" i="4"/>
  <c r="G161" i="4"/>
  <c r="G88" i="4"/>
  <c r="G245" i="4"/>
  <c r="G244" i="4" s="1"/>
  <c r="G243" i="4" s="1"/>
  <c r="E111" i="4"/>
  <c r="G228" i="4"/>
  <c r="G165" i="4"/>
  <c r="G147" i="4"/>
  <c r="G140" i="4"/>
  <c r="G116" i="4"/>
  <c r="G106" i="4"/>
  <c r="G96" i="4"/>
  <c r="G90" i="4"/>
  <c r="G234" i="4"/>
  <c r="G125" i="4"/>
  <c r="G236" i="4"/>
  <c r="G231" i="4"/>
  <c r="E145" i="4"/>
  <c r="E78" i="4"/>
  <c r="E76" i="4" s="1"/>
  <c r="E231" i="4"/>
  <c r="E84" i="4"/>
  <c r="E96" i="4"/>
  <c r="E116" i="4"/>
  <c r="E236" i="4"/>
  <c r="G197" i="4"/>
  <c r="G196" i="4"/>
  <c r="G195" i="4" s="1"/>
  <c r="F44" i="11" s="1"/>
  <c r="G184" i="4"/>
  <c r="G159" i="4"/>
  <c r="G239" i="4"/>
  <c r="G238" i="4" s="1"/>
  <c r="G206" i="4"/>
  <c r="G203" i="4" s="1"/>
  <c r="G200" i="4" s="1"/>
  <c r="F45" i="11" s="1"/>
  <c r="H45" i="11" s="1"/>
  <c r="G145" i="4"/>
  <c r="E48" i="2"/>
  <c r="E58" i="2"/>
  <c r="E57" i="2" s="1"/>
  <c r="G48" i="2"/>
  <c r="E23" i="2"/>
  <c r="G58" i="2"/>
  <c r="G57" i="2" s="1"/>
  <c r="E20" i="2"/>
  <c r="E19" i="2" s="1"/>
  <c r="E151" i="4"/>
  <c r="E152" i="4"/>
  <c r="G214" i="4"/>
  <c r="E16" i="8"/>
  <c r="C16" i="8"/>
  <c r="D762" i="6"/>
  <c r="G762" i="6" s="1"/>
  <c r="D709" i="6"/>
  <c r="G709" i="6" s="1"/>
  <c r="D685" i="6"/>
  <c r="D678" i="6"/>
  <c r="D631" i="6"/>
  <c r="D591" i="6"/>
  <c r="D579" i="6"/>
  <c r="G579" i="6" s="1"/>
  <c r="D577" i="6"/>
  <c r="G577" i="6" s="1"/>
  <c r="D575" i="6"/>
  <c r="G575" i="6" s="1"/>
  <c r="D569" i="6"/>
  <c r="D560" i="6"/>
  <c r="G560" i="6" s="1"/>
  <c r="D558" i="6"/>
  <c r="G558" i="6" s="1"/>
  <c r="D556" i="6"/>
  <c r="G556" i="6" s="1"/>
  <c r="D550" i="6"/>
  <c r="D511" i="6"/>
  <c r="G511" i="6" s="1"/>
  <c r="D507" i="6"/>
  <c r="G507" i="6" s="1"/>
  <c r="D505" i="6"/>
  <c r="G505" i="6" s="1"/>
  <c r="D390" i="6"/>
  <c r="D383" i="6"/>
  <c r="G383" i="6" s="1"/>
  <c r="D380" i="6"/>
  <c r="G380" i="6" s="1"/>
  <c r="D373" i="6"/>
  <c r="D369" i="6"/>
  <c r="D351" i="6"/>
  <c r="G351" i="6" s="1"/>
  <c r="D347" i="6"/>
  <c r="G347" i="6" s="1"/>
  <c r="D344" i="6"/>
  <c r="G344" i="6" s="1"/>
  <c r="D312" i="6"/>
  <c r="D306" i="6"/>
  <c r="D296" i="6"/>
  <c r="G296" i="6" s="1"/>
  <c r="D294" i="6"/>
  <c r="G294" i="6" s="1"/>
  <c r="D287" i="6"/>
  <c r="G287" i="6" s="1"/>
  <c r="D285" i="6"/>
  <c r="G285" i="6" s="1"/>
  <c r="D282" i="6"/>
  <c r="D278" i="6"/>
  <c r="G278" i="6" s="1"/>
  <c r="D275" i="6"/>
  <c r="G275" i="6" s="1"/>
  <c r="D273" i="6"/>
  <c r="G273" i="6" s="1"/>
  <c r="D270" i="6"/>
  <c r="D264" i="6"/>
  <c r="D196" i="6"/>
  <c r="D190" i="6"/>
  <c r="G190" i="6" s="1"/>
  <c r="D187" i="6"/>
  <c r="G187" i="6" s="1"/>
  <c r="D168" i="6"/>
  <c r="D144" i="6"/>
  <c r="G144" i="6" s="1"/>
  <c r="D142" i="6"/>
  <c r="F536" i="5"/>
  <c r="I536" i="5" s="1"/>
  <c r="F531" i="5"/>
  <c r="I531" i="5" s="1"/>
  <c r="F526" i="5"/>
  <c r="F507" i="5"/>
  <c r="F506" i="5" s="1"/>
  <c r="F517" i="5" s="1"/>
  <c r="F490" i="5"/>
  <c r="F489" i="5" s="1"/>
  <c r="F488" i="5" s="1"/>
  <c r="F485" i="5"/>
  <c r="I485" i="5" s="1"/>
  <c r="F483" i="5"/>
  <c r="F479" i="5"/>
  <c r="I479" i="5" s="1"/>
  <c r="F475" i="5"/>
  <c r="I475" i="5" s="1"/>
  <c r="F473" i="5"/>
  <c r="F470" i="5"/>
  <c r="I470" i="5" s="1"/>
  <c r="F451" i="5"/>
  <c r="I451" i="5" s="1"/>
  <c r="F393" i="5"/>
  <c r="I393" i="5" s="1"/>
  <c r="F391" i="5"/>
  <c r="I391" i="5" s="1"/>
  <c r="F379" i="5"/>
  <c r="I379" i="5" s="1"/>
  <c r="F376" i="5"/>
  <c r="F375" i="5" s="1"/>
  <c r="F371" i="5"/>
  <c r="I371" i="5" s="1"/>
  <c r="F369" i="5"/>
  <c r="F366" i="5"/>
  <c r="F365" i="5" s="1"/>
  <c r="F360" i="5"/>
  <c r="F359" i="5" s="1"/>
  <c r="F287" i="5"/>
  <c r="I287" i="5" s="1"/>
  <c r="F281" i="5"/>
  <c r="F261" i="5" s="1"/>
  <c r="F259" i="5"/>
  <c r="F256" i="5" s="1"/>
  <c r="F257" i="5"/>
  <c r="I257" i="5" s="1"/>
  <c r="F250" i="5"/>
  <c r="F236" i="5"/>
  <c r="I236" i="5" s="1"/>
  <c r="F233" i="5"/>
  <c r="F232" i="5" s="1"/>
  <c r="E247" i="4"/>
  <c r="E241" i="4"/>
  <c r="E217" i="4"/>
  <c r="E215" i="4"/>
  <c r="E208" i="4"/>
  <c r="E201" i="4"/>
  <c r="E192" i="4"/>
  <c r="E191" i="4" s="1"/>
  <c r="E49" i="4"/>
  <c r="E48" i="4" s="1"/>
  <c r="G48" i="4"/>
  <c r="G47" i="4" s="1"/>
  <c r="E45" i="4"/>
  <c r="E44" i="4" s="1"/>
  <c r="E43" i="4" s="1"/>
  <c r="G44" i="4"/>
  <c r="G43" i="4" s="1"/>
  <c r="E42" i="4"/>
  <c r="E41" i="4" s="1"/>
  <c r="E40" i="4" s="1"/>
  <c r="G41" i="4"/>
  <c r="G40" i="4" s="1"/>
  <c r="E39" i="4"/>
  <c r="E38" i="4"/>
  <c r="G37" i="4"/>
  <c r="E36" i="4"/>
  <c r="E35" i="4"/>
  <c r="G34" i="4"/>
  <c r="G32" i="4"/>
  <c r="G31" i="4" s="1"/>
  <c r="G30" i="4" s="1"/>
  <c r="E32" i="4"/>
  <c r="E31" i="4" s="1"/>
  <c r="E30" i="4" s="1"/>
  <c r="G29" i="4"/>
  <c r="G26" i="4" s="1"/>
  <c r="E29" i="4"/>
  <c r="E28" i="4"/>
  <c r="E27" i="4"/>
  <c r="E25" i="4"/>
  <c r="E24" i="4" s="1"/>
  <c r="G24" i="4"/>
  <c r="E23" i="4"/>
  <c r="E22" i="4"/>
  <c r="G21" i="4"/>
  <c r="G20" i="4"/>
  <c r="G19" i="4" s="1"/>
  <c r="E20" i="4"/>
  <c r="E19" i="4" s="1"/>
  <c r="E18" i="4"/>
  <c r="E17" i="4" s="1"/>
  <c r="G17" i="4"/>
  <c r="E15" i="4"/>
  <c r="E14" i="4" s="1"/>
  <c r="G14" i="4"/>
  <c r="G12" i="4"/>
  <c r="E12" i="4"/>
  <c r="E74" i="2"/>
  <c r="G72" i="2"/>
  <c r="G71" i="2" s="1"/>
  <c r="E72" i="2"/>
  <c r="E66" i="2"/>
  <c r="G53" i="2"/>
  <c r="E53" i="2"/>
  <c r="E40" i="2"/>
  <c r="G40" i="2"/>
  <c r="E31" i="2"/>
  <c r="G27" i="2"/>
  <c r="E27" i="2"/>
  <c r="E14" i="2"/>
  <c r="G12" i="2"/>
  <c r="E12" i="2"/>
  <c r="I347" i="1"/>
  <c r="H347" i="1"/>
  <c r="I345" i="1"/>
  <c r="H345" i="1"/>
  <c r="H344" i="1" s="1"/>
  <c r="H343" i="1" s="1"/>
  <c r="F345" i="1"/>
  <c r="F344" i="1" s="1"/>
  <c r="F343" i="1" s="1"/>
  <c r="I341" i="1"/>
  <c r="H341" i="1"/>
  <c r="F341" i="1"/>
  <c r="I339" i="1"/>
  <c r="H339" i="1"/>
  <c r="F339" i="1"/>
  <c r="I336" i="1"/>
  <c r="H336" i="1"/>
  <c r="F336" i="1"/>
  <c r="I329" i="1"/>
  <c r="I328" i="1" s="1"/>
  <c r="I327" i="1" s="1"/>
  <c r="H329" i="1"/>
  <c r="H328" i="1" s="1"/>
  <c r="H327" i="1" s="1"/>
  <c r="F329" i="1"/>
  <c r="F328" i="1" s="1"/>
  <c r="F327" i="1" s="1"/>
  <c r="I325" i="1"/>
  <c r="H325" i="1"/>
  <c r="F325" i="1"/>
  <c r="I322" i="1"/>
  <c r="H322" i="1"/>
  <c r="F322" i="1"/>
  <c r="F321" i="1" s="1"/>
  <c r="F320" i="1" s="1"/>
  <c r="I317" i="1"/>
  <c r="I316" i="1" s="1"/>
  <c r="I315" i="1" s="1"/>
  <c r="H317" i="1"/>
  <c r="H316" i="1" s="1"/>
  <c r="H315" i="1" s="1"/>
  <c r="F317" i="1"/>
  <c r="F316" i="1" s="1"/>
  <c r="F315" i="1" s="1"/>
  <c r="I313" i="1"/>
  <c r="H313" i="1"/>
  <c r="F313" i="1"/>
  <c r="I311" i="1"/>
  <c r="H311" i="1"/>
  <c r="F311" i="1"/>
  <c r="I308" i="1"/>
  <c r="H308" i="1"/>
  <c r="F308" i="1"/>
  <c r="I304" i="1"/>
  <c r="H304" i="1"/>
  <c r="F304" i="1"/>
  <c r="I302" i="1"/>
  <c r="H302" i="1"/>
  <c r="F302" i="1"/>
  <c r="I299" i="1"/>
  <c r="H299" i="1"/>
  <c r="F299" i="1"/>
  <c r="I294" i="1"/>
  <c r="I293" i="1" s="1"/>
  <c r="I290" i="1"/>
  <c r="H290" i="1"/>
  <c r="F290" i="1"/>
  <c r="I284" i="1"/>
  <c r="H284" i="1"/>
  <c r="F284" i="1"/>
  <c r="I279" i="1"/>
  <c r="H279" i="1"/>
  <c r="F279" i="1"/>
  <c r="I277" i="1"/>
  <c r="H277" i="1"/>
  <c r="F277" i="1"/>
  <c r="I274" i="1"/>
  <c r="H274" i="1"/>
  <c r="F274" i="1"/>
  <c r="H271" i="1"/>
  <c r="H270" i="1" s="1"/>
  <c r="I270" i="1"/>
  <c r="I269" i="1" s="1"/>
  <c r="F270" i="1"/>
  <c r="I265" i="1"/>
  <c r="H265" i="1"/>
  <c r="F265" i="1"/>
  <c r="I263" i="1"/>
  <c r="H260" i="1"/>
  <c r="H259" i="1"/>
  <c r="H257" i="1"/>
  <c r="I256" i="1"/>
  <c r="F256" i="1"/>
  <c r="I254" i="1"/>
  <c r="H254" i="1"/>
  <c r="F254" i="1"/>
  <c r="I251" i="1"/>
  <c r="I250" i="1" s="1"/>
  <c r="H251" i="1"/>
  <c r="H250" i="1" s="1"/>
  <c r="F251" i="1"/>
  <c r="F250" i="1" s="1"/>
  <c r="I246" i="1"/>
  <c r="H246" i="1"/>
  <c r="F246" i="1"/>
  <c r="I244" i="1"/>
  <c r="H244" i="1"/>
  <c r="F244" i="1"/>
  <c r="I241" i="1"/>
  <c r="I240" i="1" s="1"/>
  <c r="H241" i="1"/>
  <c r="H240" i="1" s="1"/>
  <c r="F241" i="1"/>
  <c r="F240" i="1" s="1"/>
  <c r="I235" i="1"/>
  <c r="I234" i="1" s="1"/>
  <c r="H235" i="1"/>
  <c r="H234" i="1" s="1"/>
  <c r="F235" i="1"/>
  <c r="F234" i="1" s="1"/>
  <c r="H229" i="1"/>
  <c r="H226" i="1" s="1"/>
  <c r="I226" i="1"/>
  <c r="F226" i="1"/>
  <c r="H225" i="1"/>
  <c r="H219" i="1"/>
  <c r="H218" i="1"/>
  <c r="I216" i="1"/>
  <c r="F216" i="1"/>
  <c r="H214" i="1"/>
  <c r="H213" i="1"/>
  <c r="H212" i="1"/>
  <c r="H211" i="1"/>
  <c r="H210" i="1"/>
  <c r="I209" i="1"/>
  <c r="F209" i="1"/>
  <c r="H206" i="1"/>
  <c r="H204" i="1" s="1"/>
  <c r="I204" i="1"/>
  <c r="F204" i="1"/>
  <c r="H202" i="1"/>
  <c r="H201" i="1" s="1"/>
  <c r="I201" i="1"/>
  <c r="F201" i="1"/>
  <c r="H200" i="1"/>
  <c r="H199" i="1" s="1"/>
  <c r="I199" i="1"/>
  <c r="F199" i="1"/>
  <c r="H195" i="1"/>
  <c r="H194" i="1" s="1"/>
  <c r="I194" i="1"/>
  <c r="F194" i="1"/>
  <c r="I189" i="1"/>
  <c r="H189" i="1"/>
  <c r="F189" i="1"/>
  <c r="H188" i="1"/>
  <c r="H187" i="1" s="1"/>
  <c r="H186" i="1" s="1"/>
  <c r="I187" i="1"/>
  <c r="I186" i="1" s="1"/>
  <c r="F187" i="1"/>
  <c r="I184" i="1"/>
  <c r="H184" i="1"/>
  <c r="F184" i="1"/>
  <c r="I182" i="1"/>
  <c r="H182" i="1"/>
  <c r="F182" i="1"/>
  <c r="I175" i="1"/>
  <c r="H175" i="1"/>
  <c r="F175" i="1"/>
  <c r="I172" i="1"/>
  <c r="H172" i="1"/>
  <c r="F172" i="1"/>
  <c r="F169" i="1" s="1"/>
  <c r="I170" i="1"/>
  <c r="H170" i="1"/>
  <c r="F170" i="1"/>
  <c r="I163" i="1"/>
  <c r="H163" i="1"/>
  <c r="F163" i="1"/>
  <c r="I161" i="1"/>
  <c r="H161" i="1"/>
  <c r="F161" i="1"/>
  <c r="I158" i="1"/>
  <c r="I157" i="1" s="1"/>
  <c r="H158" i="1"/>
  <c r="H157" i="1" s="1"/>
  <c r="F158" i="1"/>
  <c r="F157" i="1" s="1"/>
  <c r="I154" i="1"/>
  <c r="I153" i="1" s="1"/>
  <c r="H154" i="1"/>
  <c r="H153" i="1" s="1"/>
  <c r="F154" i="1"/>
  <c r="F153" i="1" s="1"/>
  <c r="I149" i="1"/>
  <c r="I148" i="1" s="1"/>
  <c r="H149" i="1"/>
  <c r="H148" i="1" s="1"/>
  <c r="F149" i="1"/>
  <c r="F148" i="1" s="1"/>
  <c r="I140" i="1"/>
  <c r="H140" i="1"/>
  <c r="F140" i="1"/>
  <c r="I138" i="1"/>
  <c r="H138" i="1"/>
  <c r="F138" i="1"/>
  <c r="I128" i="1"/>
  <c r="H128" i="1"/>
  <c r="F128" i="1"/>
  <c r="I121" i="1"/>
  <c r="H121" i="1"/>
  <c r="F121" i="1"/>
  <c r="I116" i="1"/>
  <c r="H116" i="1"/>
  <c r="F116" i="1"/>
  <c r="I113" i="1"/>
  <c r="H113" i="1"/>
  <c r="F113" i="1"/>
  <c r="I111" i="1"/>
  <c r="H111" i="1"/>
  <c r="F111" i="1"/>
  <c r="I106" i="1"/>
  <c r="H106" i="1"/>
  <c r="F106" i="1"/>
  <c r="H91" i="1"/>
  <c r="F91" i="1"/>
  <c r="H89" i="1"/>
  <c r="F89" i="1"/>
  <c r="H86" i="1"/>
  <c r="F82" i="1"/>
  <c r="H81" i="1"/>
  <c r="F81" i="1"/>
  <c r="D17" i="11" s="1"/>
  <c r="D16" i="11" s="1"/>
  <c r="H73" i="1"/>
  <c r="F73" i="1"/>
  <c r="F72" i="1" s="1"/>
  <c r="F66" i="1"/>
  <c r="F58" i="1"/>
  <c r="F53" i="1"/>
  <c r="D13" i="11" s="1"/>
  <c r="G13" i="11" s="1"/>
  <c r="F47" i="1"/>
  <c r="F40" i="1"/>
  <c r="D12" i="11" s="1"/>
  <c r="G12" i="11" s="1"/>
  <c r="H38" i="1"/>
  <c r="F38" i="1"/>
  <c r="F37" i="1" s="1"/>
  <c r="H34" i="1"/>
  <c r="F34" i="1"/>
  <c r="H15" i="1"/>
  <c r="F15" i="1"/>
  <c r="D7" i="11" s="1"/>
  <c r="J469" i="5" l="1"/>
  <c r="J489" i="5"/>
  <c r="I489" i="5"/>
  <c r="I365" i="5"/>
  <c r="J365" i="5"/>
  <c r="J368" i="5"/>
  <c r="J359" i="5"/>
  <c r="I359" i="5"/>
  <c r="J507" i="5"/>
  <c r="I507" i="5"/>
  <c r="I281" i="5"/>
  <c r="I490" i="5"/>
  <c r="I360" i="5"/>
  <c r="I259" i="5"/>
  <c r="J232" i="5"/>
  <c r="I232" i="5"/>
  <c r="J478" i="5"/>
  <c r="J256" i="5"/>
  <c r="I256" i="5"/>
  <c r="J375" i="5"/>
  <c r="I375" i="5"/>
  <c r="D389" i="6"/>
  <c r="G389" i="6" s="1"/>
  <c r="G390" i="6"/>
  <c r="D546" i="6"/>
  <c r="G546" i="6" s="1"/>
  <c r="G550" i="6"/>
  <c r="D587" i="6"/>
  <c r="G587" i="6" s="1"/>
  <c r="G591" i="6"/>
  <c r="D164" i="6"/>
  <c r="G164" i="6" s="1"/>
  <c r="G168" i="6"/>
  <c r="D263" i="6"/>
  <c r="G263" i="6" s="1"/>
  <c r="G264" i="6"/>
  <c r="D372" i="6"/>
  <c r="G373" i="6"/>
  <c r="D623" i="6"/>
  <c r="G623" i="6" s="1"/>
  <c r="G631" i="6"/>
  <c r="F305" i="5"/>
  <c r="I305" i="5" s="1"/>
  <c r="I329" i="5"/>
  <c r="J291" i="5"/>
  <c r="J223" i="5"/>
  <c r="I223" i="5"/>
  <c r="J109" i="5"/>
  <c r="I109" i="5"/>
  <c r="D192" i="6"/>
  <c r="G192" i="6" s="1"/>
  <c r="G196" i="6"/>
  <c r="D311" i="6"/>
  <c r="G311" i="6" s="1"/>
  <c r="G312" i="6"/>
  <c r="D363" i="6"/>
  <c r="G363" i="6" s="1"/>
  <c r="G369" i="6"/>
  <c r="D565" i="6"/>
  <c r="G565" i="6" s="1"/>
  <c r="G569" i="6"/>
  <c r="J48" i="5"/>
  <c r="I48" i="5"/>
  <c r="F241" i="5"/>
  <c r="I241" i="5" s="1"/>
  <c r="I250" i="5"/>
  <c r="D269" i="6"/>
  <c r="G269" i="6" s="1"/>
  <c r="G270" i="6"/>
  <c r="D281" i="6"/>
  <c r="G281" i="6" s="1"/>
  <c r="G282" i="6"/>
  <c r="D672" i="6"/>
  <c r="G672" i="6" s="1"/>
  <c r="G678" i="6"/>
  <c r="J144" i="5"/>
  <c r="I144" i="5"/>
  <c r="J241" i="5"/>
  <c r="H411" i="5"/>
  <c r="J412" i="5"/>
  <c r="I412" i="5"/>
  <c r="F519" i="5"/>
  <c r="I519" i="5" s="1"/>
  <c r="I526" i="5"/>
  <c r="J397" i="5"/>
  <c r="D141" i="6"/>
  <c r="G141" i="6" s="1"/>
  <c r="G142" i="6"/>
  <c r="D300" i="6"/>
  <c r="G300" i="6" s="1"/>
  <c r="G306" i="6"/>
  <c r="D684" i="6"/>
  <c r="G684" i="6" s="1"/>
  <c r="G685" i="6"/>
  <c r="J530" i="5"/>
  <c r="J378" i="5"/>
  <c r="H12" i="5"/>
  <c r="J20" i="5"/>
  <c r="I20" i="5"/>
  <c r="J120" i="5"/>
  <c r="I120" i="5"/>
  <c r="J261" i="5"/>
  <c r="I261" i="5"/>
  <c r="J283" i="5"/>
  <c r="J85" i="5"/>
  <c r="I85" i="5"/>
  <c r="H518" i="5"/>
  <c r="J519" i="5"/>
  <c r="J126" i="5"/>
  <c r="I126" i="5"/>
  <c r="F411" i="5"/>
  <c r="H23" i="5"/>
  <c r="F12" i="5"/>
  <c r="F11" i="5" s="1"/>
  <c r="G158" i="4"/>
  <c r="D501" i="6"/>
  <c r="G501" i="6" s="1"/>
  <c r="G44" i="11"/>
  <c r="H44" i="11"/>
  <c r="D343" i="6"/>
  <c r="D761" i="6"/>
  <c r="G761" i="6" s="1"/>
  <c r="F530" i="5"/>
  <c r="F529" i="5" s="1"/>
  <c r="H506" i="5"/>
  <c r="D510" i="6"/>
  <c r="F17" i="11"/>
  <c r="H16" i="1"/>
  <c r="F7" i="11"/>
  <c r="D379" i="6"/>
  <c r="H119" i="5"/>
  <c r="H222" i="5"/>
  <c r="D6" i="11"/>
  <c r="E222" i="4"/>
  <c r="E219" i="4" s="1"/>
  <c r="G180" i="4"/>
  <c r="G179" i="4" s="1"/>
  <c r="F43" i="11" s="1"/>
  <c r="H255" i="5"/>
  <c r="F95" i="5"/>
  <c r="I95" i="5" s="1"/>
  <c r="H488" i="5"/>
  <c r="H137" i="5"/>
  <c r="G58" i="4"/>
  <c r="F41" i="11" s="1"/>
  <c r="H125" i="5"/>
  <c r="H102" i="5"/>
  <c r="F397" i="5"/>
  <c r="I397" i="5" s="1"/>
  <c r="H84" i="5"/>
  <c r="H374" i="5"/>
  <c r="E33" i="2"/>
  <c r="G33" i="2"/>
  <c r="H37" i="1"/>
  <c r="H72" i="1"/>
  <c r="F86" i="1"/>
  <c r="D19" i="11" s="1"/>
  <c r="D18" i="11" s="1"/>
  <c r="E95" i="4"/>
  <c r="H468" i="5"/>
  <c r="H529" i="5"/>
  <c r="F469" i="5"/>
  <c r="I469" i="5" s="1"/>
  <c r="F518" i="5"/>
  <c r="E158" i="4"/>
  <c r="D170" i="6"/>
  <c r="E83" i="4"/>
  <c r="E120" i="4"/>
  <c r="E243" i="4"/>
  <c r="G95" i="4"/>
  <c r="D388" i="6"/>
  <c r="G388" i="6" s="1"/>
  <c r="G222" i="4"/>
  <c r="G219" i="4" s="1"/>
  <c r="G213" i="4" s="1"/>
  <c r="H290" i="5"/>
  <c r="D346" i="6"/>
  <c r="G346" i="6" s="1"/>
  <c r="G120" i="4"/>
  <c r="G83" i="4"/>
  <c r="E59" i="4"/>
  <c r="E58" i="4" s="1"/>
  <c r="D41" i="11" s="1"/>
  <c r="D284" i="6"/>
  <c r="D362" i="6"/>
  <c r="D688" i="6"/>
  <c r="G151" i="4"/>
  <c r="G152" i="4"/>
  <c r="H321" i="1"/>
  <c r="H320" i="1" s="1"/>
  <c r="H334" i="1" s="1"/>
  <c r="F160" i="1"/>
  <c r="H269" i="1"/>
  <c r="H268" i="1" s="1"/>
  <c r="H296" i="1" s="1"/>
  <c r="H169" i="1"/>
  <c r="F193" i="1"/>
  <c r="H335" i="1"/>
  <c r="H349" i="1" s="1"/>
  <c r="I193" i="1"/>
  <c r="F186" i="1"/>
  <c r="E47" i="2"/>
  <c r="H193" i="1"/>
  <c r="H160" i="1"/>
  <c r="I169" i="1"/>
  <c r="F174" i="1"/>
  <c r="F269" i="1"/>
  <c r="F36" i="1"/>
  <c r="D15" i="11" s="1"/>
  <c r="D14" i="11" s="1"/>
  <c r="F243" i="1"/>
  <c r="H115" i="1"/>
  <c r="F115" i="1"/>
  <c r="I203" i="1"/>
  <c r="F88" i="1"/>
  <c r="F87" i="1" s="1"/>
  <c r="F94" i="1" s="1"/>
  <c r="F307" i="1"/>
  <c r="I321" i="1"/>
  <c r="I320" i="1" s="1"/>
  <c r="I334" i="1" s="1"/>
  <c r="H105" i="1"/>
  <c r="H209" i="1"/>
  <c r="I276" i="1"/>
  <c r="I268" i="1" s="1"/>
  <c r="I296" i="1" s="1"/>
  <c r="I253" i="1"/>
  <c r="I249" i="1" s="1"/>
  <c r="I298" i="1"/>
  <c r="F298" i="1"/>
  <c r="I344" i="1"/>
  <c r="I343" i="1" s="1"/>
  <c r="F334" i="1"/>
  <c r="H88" i="1"/>
  <c r="I105" i="1"/>
  <c r="I160" i="1"/>
  <c r="H256" i="1"/>
  <c r="H253" i="1" s="1"/>
  <c r="H249" i="1" s="1"/>
  <c r="I335" i="1"/>
  <c r="F105" i="1"/>
  <c r="H174" i="1"/>
  <c r="F203" i="1"/>
  <c r="I243" i="1"/>
  <c r="I307" i="1"/>
  <c r="H243" i="1"/>
  <c r="H307" i="1"/>
  <c r="F46" i="1"/>
  <c r="D11" i="11" s="1"/>
  <c r="I115" i="1"/>
  <c r="I174" i="1"/>
  <c r="H216" i="1"/>
  <c r="F253" i="1"/>
  <c r="F249" i="1" s="1"/>
  <c r="F276" i="1"/>
  <c r="H298" i="1"/>
  <c r="F335" i="1"/>
  <c r="F349" i="1" s="1"/>
  <c r="E11" i="2"/>
  <c r="E200" i="4"/>
  <c r="E21" i="4"/>
  <c r="E11" i="4" s="1"/>
  <c r="E26" i="4"/>
  <c r="F291" i="5"/>
  <c r="I291" i="5" s="1"/>
  <c r="D574" i="6"/>
  <c r="F283" i="5"/>
  <c r="I283" i="5" s="1"/>
  <c r="F378" i="5"/>
  <c r="F374" i="5" s="1"/>
  <c r="F478" i="5"/>
  <c r="I478" i="5" s="1"/>
  <c r="F368" i="5"/>
  <c r="I368" i="5" s="1"/>
  <c r="E214" i="4"/>
  <c r="G46" i="4"/>
  <c r="G33" i="4"/>
  <c r="E37" i="4"/>
  <c r="G11" i="4"/>
  <c r="E34" i="4"/>
  <c r="D272" i="6"/>
  <c r="D612" i="6"/>
  <c r="G612" i="6" s="1"/>
  <c r="D555" i="6"/>
  <c r="G555" i="6" s="1"/>
  <c r="D596" i="6"/>
  <c r="G596" i="6" s="1"/>
  <c r="E47" i="4"/>
  <c r="E46" i="4"/>
  <c r="E71" i="2"/>
  <c r="E70" i="2" s="1"/>
  <c r="H12" i="3" s="1"/>
  <c r="G11" i="2"/>
  <c r="G47" i="2"/>
  <c r="F75" i="1"/>
  <c r="D9" i="11" s="1"/>
  <c r="D8" i="11" s="1"/>
  <c r="J468" i="5" l="1"/>
  <c r="J488" i="5"/>
  <c r="I488" i="5"/>
  <c r="J506" i="5"/>
  <c r="I506" i="5"/>
  <c r="D8" i="6"/>
  <c r="G8" i="6" s="1"/>
  <c r="J84" i="5"/>
  <c r="I84" i="5"/>
  <c r="J255" i="5"/>
  <c r="J222" i="5"/>
  <c r="I222" i="5"/>
  <c r="J23" i="5"/>
  <c r="I23" i="5"/>
  <c r="I530" i="5"/>
  <c r="D371" i="6"/>
  <c r="G371" i="6" s="1"/>
  <c r="G372" i="6"/>
  <c r="J290" i="5"/>
  <c r="J374" i="5"/>
  <c r="I374" i="5"/>
  <c r="D564" i="6"/>
  <c r="G574" i="6"/>
  <c r="G362" i="6"/>
  <c r="J137" i="5"/>
  <c r="I137" i="5"/>
  <c r="J119" i="5"/>
  <c r="I119" i="5"/>
  <c r="J12" i="5"/>
  <c r="I12" i="5"/>
  <c r="J125" i="5"/>
  <c r="I125" i="5"/>
  <c r="D687" i="6"/>
  <c r="G687" i="6" s="1"/>
  <c r="G688" i="6"/>
  <c r="D199" i="6"/>
  <c r="G199" i="6" s="1"/>
  <c r="G272" i="6"/>
  <c r="D671" i="6"/>
  <c r="G671" i="6" s="1"/>
  <c r="D280" i="6"/>
  <c r="G280" i="6" s="1"/>
  <c r="G284" i="6"/>
  <c r="D163" i="6"/>
  <c r="G163" i="6" s="1"/>
  <c r="G170" i="6"/>
  <c r="J529" i="5"/>
  <c r="I529" i="5"/>
  <c r="J102" i="5"/>
  <c r="I102" i="5"/>
  <c r="D378" i="6"/>
  <c r="G378" i="6" s="1"/>
  <c r="G379" i="6"/>
  <c r="D299" i="6"/>
  <c r="G299" i="6" s="1"/>
  <c r="G343" i="6"/>
  <c r="J518" i="5"/>
  <c r="I518" i="5"/>
  <c r="I378" i="5"/>
  <c r="J411" i="5"/>
  <c r="I411" i="5"/>
  <c r="H8" i="1"/>
  <c r="F16" i="11"/>
  <c r="H17" i="11"/>
  <c r="D500" i="6"/>
  <c r="D499" i="6" s="1"/>
  <c r="F6" i="11"/>
  <c r="H6" i="11" s="1"/>
  <c r="H7" i="11"/>
  <c r="G43" i="11"/>
  <c r="H43" i="11"/>
  <c r="G16" i="11"/>
  <c r="H16" i="11"/>
  <c r="G41" i="11"/>
  <c r="H41" i="11"/>
  <c r="E82" i="4"/>
  <c r="D42" i="11" s="1"/>
  <c r="G82" i="4"/>
  <c r="F42" i="11" s="1"/>
  <c r="H42" i="11" s="1"/>
  <c r="H124" i="5"/>
  <c r="D45" i="11"/>
  <c r="G45" i="11" s="1"/>
  <c r="D586" i="6"/>
  <c r="G586" i="6" s="1"/>
  <c r="D10" i="11"/>
  <c r="G10" i="11" s="1"/>
  <c r="G11" i="11"/>
  <c r="H11" i="5"/>
  <c r="G70" i="2"/>
  <c r="J12" i="3" s="1"/>
  <c r="I168" i="1"/>
  <c r="G17" i="11"/>
  <c r="G7" i="11"/>
  <c r="J15" i="3"/>
  <c r="F46" i="11"/>
  <c r="H46" i="11" s="1"/>
  <c r="F83" i="5"/>
  <c r="F99" i="5" s="1"/>
  <c r="H492" i="5"/>
  <c r="H221" i="5"/>
  <c r="H101" i="5"/>
  <c r="E213" i="4"/>
  <c r="D46" i="11" s="1"/>
  <c r="H83" i="5"/>
  <c r="H517" i="5"/>
  <c r="H57" i="1"/>
  <c r="H75" i="1"/>
  <c r="H87" i="1"/>
  <c r="H395" i="5"/>
  <c r="F468" i="5"/>
  <c r="F492" i="5" s="1"/>
  <c r="F542" i="5"/>
  <c r="D611" i="6"/>
  <c r="G611" i="6" s="1"/>
  <c r="F255" i="5"/>
  <c r="I255" i="5" s="1"/>
  <c r="I297" i="1"/>
  <c r="I319" i="1" s="1"/>
  <c r="F168" i="1"/>
  <c r="F268" i="1"/>
  <c r="F296" i="1" s="1"/>
  <c r="F104" i="1"/>
  <c r="H203" i="1"/>
  <c r="H192" i="1" s="1"/>
  <c r="H267" i="1" s="1"/>
  <c r="F192" i="1"/>
  <c r="I104" i="1"/>
  <c r="H104" i="1"/>
  <c r="H168" i="1"/>
  <c r="F297" i="1"/>
  <c r="F319" i="1" s="1"/>
  <c r="I192" i="1"/>
  <c r="I267" i="1" s="1"/>
  <c r="I349" i="1"/>
  <c r="F57" i="1"/>
  <c r="H297" i="1"/>
  <c r="H319" i="1" s="1"/>
  <c r="H36" i="1"/>
  <c r="G10" i="4"/>
  <c r="G51" i="4" s="1"/>
  <c r="E10" i="2"/>
  <c r="F396" i="5"/>
  <c r="F290" i="5"/>
  <c r="F395" i="5" s="1"/>
  <c r="E33" i="4"/>
  <c r="E10" i="4" s="1"/>
  <c r="E51" i="4" s="1"/>
  <c r="D545" i="6"/>
  <c r="G10" i="2"/>
  <c r="I468" i="5" l="1"/>
  <c r="J492" i="5"/>
  <c r="I492" i="5"/>
  <c r="D670" i="6"/>
  <c r="D361" i="6"/>
  <c r="G361" i="6" s="1"/>
  <c r="D298" i="6"/>
  <c r="I290" i="5"/>
  <c r="J101" i="5"/>
  <c r="I101" i="5"/>
  <c r="D796" i="6"/>
  <c r="G796" i="6" s="1"/>
  <c r="D563" i="6"/>
  <c r="G564" i="6"/>
  <c r="D377" i="6"/>
  <c r="J395" i="5"/>
  <c r="I395" i="5"/>
  <c r="J517" i="5"/>
  <c r="I517" i="5"/>
  <c r="J221" i="5"/>
  <c r="I221" i="5"/>
  <c r="L15" i="3"/>
  <c r="J124" i="5"/>
  <c r="I124" i="5"/>
  <c r="D544" i="6"/>
  <c r="G545" i="6"/>
  <c r="J83" i="5"/>
  <c r="I83" i="5"/>
  <c r="J11" i="5"/>
  <c r="I11" i="5"/>
  <c r="D198" i="6"/>
  <c r="D795" i="6"/>
  <c r="D610" i="6"/>
  <c r="D20" i="11"/>
  <c r="D498" i="6"/>
  <c r="G6" i="11"/>
  <c r="D5" i="11"/>
  <c r="D585" i="6"/>
  <c r="D32" i="11"/>
  <c r="F9" i="5"/>
  <c r="J11" i="3"/>
  <c r="G77" i="2"/>
  <c r="F467" i="5"/>
  <c r="I191" i="1"/>
  <c r="F9" i="11"/>
  <c r="F15" i="11"/>
  <c r="E57" i="4"/>
  <c r="H14" i="3" s="1"/>
  <c r="D47" i="11"/>
  <c r="G46" i="11"/>
  <c r="F47" i="11"/>
  <c r="H47" i="11" s="1"/>
  <c r="H15" i="3"/>
  <c r="K15" i="3" s="1"/>
  <c r="H100" i="5"/>
  <c r="H99" i="5"/>
  <c r="G57" i="4"/>
  <c r="F191" i="1"/>
  <c r="H94" i="1"/>
  <c r="F19" i="11" s="1"/>
  <c r="H19" i="11" s="1"/>
  <c r="I350" i="1"/>
  <c r="I352" i="1" s="1"/>
  <c r="I354" i="1" s="1"/>
  <c r="F350" i="1"/>
  <c r="H191" i="1"/>
  <c r="H350" i="1"/>
  <c r="F267" i="1"/>
  <c r="F95" i="1"/>
  <c r="H11" i="3"/>
  <c r="H10" i="3" s="1"/>
  <c r="E77" i="2"/>
  <c r="G670" i="6" l="1"/>
  <c r="D669" i="6"/>
  <c r="G669" i="6" s="1"/>
  <c r="D562" i="6"/>
  <c r="G562" i="6" s="1"/>
  <c r="G563" i="6"/>
  <c r="G198" i="6"/>
  <c r="D28" i="11"/>
  <c r="J99" i="5"/>
  <c r="I99" i="5"/>
  <c r="J100" i="5"/>
  <c r="D26" i="11"/>
  <c r="D25" i="11" s="1"/>
  <c r="G585" i="6"/>
  <c r="D36" i="11"/>
  <c r="G377" i="6"/>
  <c r="D609" i="6"/>
  <c r="G609" i="6" s="1"/>
  <c r="G610" i="6"/>
  <c r="D543" i="6"/>
  <c r="G543" i="6" s="1"/>
  <c r="G544" i="6"/>
  <c r="D584" i="6"/>
  <c r="G584" i="6" s="1"/>
  <c r="G9" i="11"/>
  <c r="H9" i="11"/>
  <c r="F14" i="11"/>
  <c r="H14" i="11" s="1"/>
  <c r="H15" i="11"/>
  <c r="G19" i="11"/>
  <c r="F18" i="11"/>
  <c r="F8" i="11"/>
  <c r="G15" i="11"/>
  <c r="H95" i="1"/>
  <c r="G47" i="11"/>
  <c r="G42" i="11"/>
  <c r="E249" i="4"/>
  <c r="C10" i="8" s="1"/>
  <c r="D31" i="11"/>
  <c r="G249" i="4"/>
  <c r="E10" i="8" s="1"/>
  <c r="J14" i="3"/>
  <c r="H13" i="3"/>
  <c r="H16" i="3" s="1"/>
  <c r="H28" i="3" s="1"/>
  <c r="J10" i="3"/>
  <c r="G36" i="11" l="1"/>
  <c r="D35" i="11"/>
  <c r="G35" i="11" s="1"/>
  <c r="G10" i="8"/>
  <c r="F10" i="8"/>
  <c r="K14" i="3"/>
  <c r="L14" i="3"/>
  <c r="G14" i="11"/>
  <c r="G18" i="11"/>
  <c r="H18" i="11"/>
  <c r="G8" i="11"/>
  <c r="H8" i="11"/>
  <c r="C15" i="8"/>
  <c r="F5" i="11"/>
  <c r="F20" i="11"/>
  <c r="F21" i="11" s="1"/>
  <c r="H21" i="11" s="1"/>
  <c r="J13" i="3"/>
  <c r="C14" i="8"/>
  <c r="C13" i="8"/>
  <c r="D27" i="11"/>
  <c r="G27" i="11" s="1"/>
  <c r="G28" i="11"/>
  <c r="E13" i="8"/>
  <c r="E14" i="8"/>
  <c r="E15" i="8"/>
  <c r="D7" i="6"/>
  <c r="D6" i="6" l="1"/>
  <c r="G7" i="6"/>
  <c r="K13" i="3"/>
  <c r="L13" i="3"/>
  <c r="G15" i="8"/>
  <c r="F15" i="8"/>
  <c r="G13" i="8"/>
  <c r="F13" i="8"/>
  <c r="G14" i="8"/>
  <c r="F14" i="8"/>
  <c r="D30" i="11"/>
  <c r="G5" i="11"/>
  <c r="H5" i="11"/>
  <c r="G20" i="11"/>
  <c r="G21" i="11" s="1"/>
  <c r="H20" i="11"/>
  <c r="J16" i="3"/>
  <c r="C12" i="8"/>
  <c r="C11" i="8" s="1"/>
  <c r="E12" i="8"/>
  <c r="F100" i="5"/>
  <c r="I100" i="5" s="1"/>
  <c r="K16" i="3" l="1"/>
  <c r="L16" i="3"/>
  <c r="G12" i="8"/>
  <c r="F12" i="8"/>
  <c r="F543" i="5"/>
  <c r="F8" i="5"/>
  <c r="J28" i="3"/>
  <c r="L28" i="3" s="1"/>
  <c r="D29" i="11"/>
  <c r="G30" i="11"/>
  <c r="E11" i="8"/>
  <c r="F289" i="5"/>
  <c r="H289" i="5"/>
  <c r="G11" i="8" l="1"/>
  <c r="F11" i="8"/>
  <c r="J289" i="5"/>
  <c r="I289" i="5"/>
  <c r="K28" i="3"/>
  <c r="G29" i="11"/>
  <c r="H542" i="5"/>
  <c r="J542" i="5" l="1"/>
  <c r="I542" i="5"/>
  <c r="F510" i="6"/>
  <c r="F500" i="6" l="1"/>
  <c r="F499" i="6" s="1"/>
  <c r="H510" i="6"/>
  <c r="G510" i="6"/>
  <c r="H499" i="6" l="1"/>
  <c r="G499" i="6"/>
  <c r="F26" i="11"/>
  <c r="H26" i="11" s="1"/>
  <c r="F795" i="6"/>
  <c r="H500" i="6"/>
  <c r="G500" i="6"/>
  <c r="F498" i="6"/>
  <c r="H498" i="6" l="1"/>
  <c r="G498" i="6"/>
  <c r="H795" i="6"/>
  <c r="G795" i="6"/>
  <c r="F797" i="6"/>
  <c r="F25" i="11"/>
  <c r="H25" i="11" s="1"/>
  <c r="G26" i="11"/>
  <c r="H797" i="6" l="1"/>
  <c r="G25" i="11"/>
  <c r="H9" i="5"/>
  <c r="I9" i="5" l="1"/>
  <c r="J9" i="5"/>
  <c r="F298" i="6"/>
  <c r="H298" i="6" l="1"/>
  <c r="G298" i="6"/>
  <c r="F32" i="11"/>
  <c r="H32" i="11" s="1"/>
  <c r="F6" i="6"/>
  <c r="H6" i="6" l="1"/>
  <c r="G6" i="6"/>
  <c r="G32" i="11"/>
  <c r="F31" i="11"/>
  <c r="F24" i="11" l="1"/>
  <c r="H24" i="11" s="1"/>
  <c r="H31" i="11"/>
  <c r="F37" i="11"/>
  <c r="G31" i="11"/>
  <c r="H37" i="11" l="1"/>
  <c r="F38" i="11"/>
  <c r="H38" i="11" s="1"/>
  <c r="H396" i="5"/>
  <c r="H8" i="5" l="1"/>
  <c r="J396" i="5"/>
  <c r="I396" i="5"/>
  <c r="H543" i="5"/>
  <c r="H467" i="5"/>
  <c r="I543" i="5" l="1"/>
  <c r="J543" i="5"/>
  <c r="I467" i="5"/>
  <c r="J467" i="5"/>
  <c r="J8" i="5"/>
  <c r="I8" i="5"/>
  <c r="D797" i="6"/>
  <c r="G797" i="6" s="1"/>
  <c r="D34" i="11" l="1"/>
  <c r="G34" i="11" l="1"/>
  <c r="D33" i="11"/>
  <c r="G33" i="11" l="1"/>
  <c r="D24" i="11"/>
  <c r="G24" i="11" s="1"/>
  <c r="D37" i="11"/>
  <c r="G37" i="11" s="1"/>
  <c r="G38" i="11" s="1"/>
</calcChain>
</file>

<file path=xl/sharedStrings.xml><?xml version="1.0" encoding="utf-8"?>
<sst xmlns="http://schemas.openxmlformats.org/spreadsheetml/2006/main" count="3298" uniqueCount="632">
  <si>
    <t>I. OPĆI DIO</t>
  </si>
  <si>
    <t>A. RAČUN PRIHODA</t>
  </si>
  <si>
    <t xml:space="preserve"> PRIHODI POSLOVANJA</t>
  </si>
  <si>
    <t>Razred</t>
  </si>
  <si>
    <t xml:space="preserve">Skupina/podskupina/odjeljak </t>
  </si>
  <si>
    <t>Izvor</t>
  </si>
  <si>
    <t xml:space="preserve">Naziv </t>
  </si>
  <si>
    <t xml:space="preserve">Prihodi poslovanja </t>
  </si>
  <si>
    <t>Prihodi iz nadležnog proračuna i od HZZO-a temeljem ugovornih obveza</t>
  </si>
  <si>
    <t>671</t>
  </si>
  <si>
    <t>Prihodi iz nadležnog proračuna za financiranje redovne djelatnosti proračunskih korisnika</t>
  </si>
  <si>
    <t>6711</t>
  </si>
  <si>
    <t>Prihodi iz nadležnog proračuna za financiranje rashoda poslovanja</t>
  </si>
  <si>
    <t>6712</t>
  </si>
  <si>
    <t>Prihodi iz nadležnog proračuna za nabavu nefinancijske imovine</t>
  </si>
  <si>
    <t>Opći prihodi i primici</t>
  </si>
  <si>
    <t>Pomoći iz inozemstva i od subjekata unutar općeg proračuna</t>
  </si>
  <si>
    <t>633</t>
  </si>
  <si>
    <t>Pomoći proračunu iz drugih proračuna</t>
  </si>
  <si>
    <t>6331</t>
  </si>
  <si>
    <t>Tekuće pomoći proračunu iz drugih proračuna</t>
  </si>
  <si>
    <t>6332</t>
  </si>
  <si>
    <t>Kapitalne pomoći proračunu iz drugih proračuna</t>
  </si>
  <si>
    <t>634</t>
  </si>
  <si>
    <t>Pomoći od izvanproračunskih korisnika</t>
  </si>
  <si>
    <t>6341</t>
  </si>
  <si>
    <t>Tekuće pomoći od HZZ-a, HZZO-a</t>
  </si>
  <si>
    <t>636</t>
  </si>
  <si>
    <t>Pomoći proračunskim korisnicima iz proračuna koji im nije nadležan</t>
  </si>
  <si>
    <t>6361</t>
  </si>
  <si>
    <t>Tekuće pomoći iz državnog proračuna proračunskim korisnicma JLP(R)S</t>
  </si>
  <si>
    <t>638</t>
  </si>
  <si>
    <t>Pomoć temeljem prijenosa EU sredstava</t>
  </si>
  <si>
    <t>6381</t>
  </si>
  <si>
    <t>Tekuće pomoći temeljem prijenosa EU sredstava</t>
  </si>
  <si>
    <t>6382</t>
  </si>
  <si>
    <t>Kapitalna pomoć temeljem prijenosa EU sredstava</t>
  </si>
  <si>
    <t>639</t>
  </si>
  <si>
    <t>Prijenosi između proračunskih korisnika istog proračuna</t>
  </si>
  <si>
    <t>6391</t>
  </si>
  <si>
    <t>Tekući prijenosi između proračunskih korisnika istog proračuna</t>
  </si>
  <si>
    <t>Pomoći</t>
  </si>
  <si>
    <t>Prihodi od imovine</t>
  </si>
  <si>
    <t>Prihodi od financijske imovine</t>
  </si>
  <si>
    <t>Ostali prihodi od financijske imovine</t>
  </si>
  <si>
    <t>Prihodi od upravnih i administrativnih pristojbi, pristojbi po posebnim propisima i nakanda</t>
  </si>
  <si>
    <t>Prihodi po posebnim propisima</t>
  </si>
  <si>
    <t>Ostali nespomenuti prihodi (participacija)</t>
  </si>
  <si>
    <t>673</t>
  </si>
  <si>
    <t>Prihodi od HZZO-a temeljem ugovora</t>
  </si>
  <si>
    <t>6731</t>
  </si>
  <si>
    <t>68</t>
  </si>
  <si>
    <t>Kazne, upravne mjere i ostali prihodi</t>
  </si>
  <si>
    <t>683</t>
  </si>
  <si>
    <t>Ostali prihodi</t>
  </si>
  <si>
    <t>6831</t>
  </si>
  <si>
    <t xml:space="preserve">Ostali prihodi za posebne namjene </t>
  </si>
  <si>
    <t>Ostali prihodi od nefinancijske imovine</t>
  </si>
  <si>
    <t>Prihodi od prodaje proizvoda i robe te pruženih usluga i prihodi od donacija</t>
  </si>
  <si>
    <t>661</t>
  </si>
  <si>
    <t>Prihodi od prodaje proizvoda i robe te pruženih usluga</t>
  </si>
  <si>
    <t>6614</t>
  </si>
  <si>
    <t>Prihod od prodaje proizvoda i usluga</t>
  </si>
  <si>
    <t>6615</t>
  </si>
  <si>
    <t>Prihodi od pruženih usluga</t>
  </si>
  <si>
    <t>31</t>
  </si>
  <si>
    <t xml:space="preserve"> Vlastiti prihodi </t>
  </si>
  <si>
    <t>Donacije od pravnih i fizičkih osoba izvan općeg proračuna i povrat donacija po protestiranim jamstvima</t>
  </si>
  <si>
    <t>Tekuće donacije</t>
  </si>
  <si>
    <t>6632</t>
  </si>
  <si>
    <t>Kapitalne donacije</t>
  </si>
  <si>
    <t>61</t>
  </si>
  <si>
    <t xml:space="preserve">Donacije </t>
  </si>
  <si>
    <t xml:space="preserve">Ostali nespomenuti prihodi </t>
  </si>
  <si>
    <t>Prihodi od prodaje nefinacijske imovine i naknade šteta</t>
  </si>
  <si>
    <t>Prihodi od  prodaje nefinancijske imovine</t>
  </si>
  <si>
    <t>Prihodi od prodaje proizvedene dugotrajne imovine</t>
  </si>
  <si>
    <t>Prihodi od prodaje građevinskih objekata</t>
  </si>
  <si>
    <t>Stambeni objekti</t>
  </si>
  <si>
    <t>Prihodi od prodaje prijevoznih sredstava</t>
  </si>
  <si>
    <t>Prijevozna sredstva u cestovnom prometu</t>
  </si>
  <si>
    <t>Ukupni prihodi</t>
  </si>
  <si>
    <t>RASHODI POSLOVANJA</t>
  </si>
  <si>
    <t>IZVORNI PLAN</t>
  </si>
  <si>
    <t>TEKUĆI PLAN</t>
  </si>
  <si>
    <t xml:space="preserve">Izvršenje tekuće godine I.-IX.2023. </t>
  </si>
  <si>
    <t>3</t>
  </si>
  <si>
    <t>Rashodi poslovanja</t>
  </si>
  <si>
    <t>Rashodi za zaposlene</t>
  </si>
  <si>
    <t>Plaće</t>
  </si>
  <si>
    <t>Plaće za redovan rad</t>
  </si>
  <si>
    <t>3112</t>
  </si>
  <si>
    <t>Plaće u naravi</t>
  </si>
  <si>
    <t>3113</t>
  </si>
  <si>
    <t>Plaće za prekovremeni rad</t>
  </si>
  <si>
    <t>3114</t>
  </si>
  <si>
    <t>Plaća za posebne uvjete rada</t>
  </si>
  <si>
    <t>312</t>
  </si>
  <si>
    <t>Ostali rashodi za zaposlene</t>
  </si>
  <si>
    <t>3121</t>
  </si>
  <si>
    <t>Doprinosi na plaće</t>
  </si>
  <si>
    <t>Doprinosi za obvezno zdravstveno osiguranje</t>
  </si>
  <si>
    <t>Materijalni rashodi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</si>
  <si>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</si>
  <si>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</si>
  <si>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</si>
  <si>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</si>
  <si>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</si>
  <si>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</si>
  <si>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zaposlenih</t>
  </si>
  <si>
    <t>3214</t>
  </si>
  <si>
    <t>Ostale naknade troškova zaposlenima</t>
  </si>
  <si>
    <t>322</t>
  </si>
  <si>
    <t>Rashodi za materijal i energiju</t>
  </si>
  <si>
    <t>3221</t>
  </si>
  <si>
    <t>Uredski materijal i ostali materijalni rashodi</t>
  </si>
  <si>
    <t>3222</t>
  </si>
  <si>
    <t>Materijal i sirovine</t>
  </si>
  <si>
    <t>3223</t>
  </si>
  <si>
    <t>Energija</t>
  </si>
  <si>
    <t>3224</t>
  </si>
  <si>
    <t>Materijal i dijelovi za tekuće i investicijsko održavanje</t>
  </si>
  <si>
    <t>3225</t>
  </si>
  <si>
    <t>Sitan inventar i autogume</t>
  </si>
  <si>
    <t>3227</t>
  </si>
  <si>
    <t>Službena radna i zaštitna odjeća</t>
  </si>
  <si>
    <t>323</t>
  </si>
  <si>
    <t>Rashodi za usluge</t>
  </si>
  <si>
    <t>3231</t>
  </si>
  <si>
    <t>Usluge telefona i pošte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</si>
  <si>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</si>
  <si>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</si>
  <si>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</si>
  <si>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</si>
  <si>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</si>
  <si>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</si>
  <si>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Zakupnine i najamnine</t>
  </si>
  <si>
    <t>Zdravstvene i veterinarske usluge</t>
  </si>
  <si>
    <t>Intelektualne usluge</t>
  </si>
  <si>
    <t>3238</t>
  </si>
  <si>
    <t>Računalne usluge</t>
  </si>
  <si>
    <t>3239</t>
  </si>
  <si>
    <t>Ostale usluge</t>
  </si>
  <si>
    <t xml:space="preserve">Naknade troškova osobama izvan radnog odnosa </t>
  </si>
  <si>
    <t>Ostali nespomenuti rashodi poslovanja</t>
  </si>
  <si>
    <t>3291</t>
  </si>
  <si>
    <t>Naknade za rad predstavničkih i izvršnih tijela, povjerenstava i slično</t>
  </si>
  <si>
    <t>Premija osiguranja</t>
  </si>
  <si>
    <t>Reprezentacija</t>
  </si>
  <si>
    <t>Članarine i norme</t>
  </si>
  <si>
    <t>Pristojbe i naknade</t>
  </si>
  <si>
    <t>Troškovi sudskih postupaka</t>
  </si>
  <si>
    <t>3299</t>
  </si>
  <si>
    <t>Financijski rashodi</t>
  </si>
  <si>
    <t>Ostali financijski rashodi</t>
  </si>
  <si>
    <t>3431</t>
  </si>
  <si>
    <t>Bankarske usluge i usluge platnog prometa</t>
  </si>
  <si>
    <t>Zatezne kamate</t>
  </si>
  <si>
    <t>Ostali nespomenuti financijski rashodi</t>
  </si>
  <si>
    <t>Pomoći dane u iznozemstvo i unutar općeg proračuna</t>
  </si>
  <si>
    <t>Tekući prijenosi između proračunksih korisnika istog proračuna</t>
  </si>
  <si>
    <t>Kapitalni prijenosi između proračunksih korisnika istog proračuna</t>
  </si>
  <si>
    <t>Naknade građanima i kućanstvima na temelju osiguranja i dr nak</t>
  </si>
  <si>
    <t>Ostale naknade građanima i kućanstvima iz proračuna</t>
  </si>
  <si>
    <t>Naknade građanima i kućanstvima u novcu</t>
  </si>
  <si>
    <t>38</t>
  </si>
  <si>
    <t>381</t>
  </si>
  <si>
    <t>Tekuće donacije u novcu</t>
  </si>
  <si>
    <t>3811</t>
  </si>
  <si>
    <t>Kazne, penali i naknade štete</t>
  </si>
  <si>
    <t>Naknade štete pravnim i fizičkim osobama</t>
  </si>
  <si>
    <t>Naknada šteta zaposlenicima</t>
  </si>
  <si>
    <t>Ugovorne kazne i ostale naknade štete</t>
  </si>
  <si>
    <t>Ostale kazne</t>
  </si>
  <si>
    <t>Rashodi za nabavu nefinancijske imovine</t>
  </si>
  <si>
    <t>41</t>
  </si>
  <si>
    <t>Rashodi za nabavu neproizvedene dugotrajne imovine</t>
  </si>
  <si>
    <t>411</t>
  </si>
  <si>
    <t>Materijalna imovina - prirodna bogatstva</t>
  </si>
  <si>
    <t>4111</t>
  </si>
  <si>
    <t>Građevinsko zemljište</t>
  </si>
  <si>
    <t>Nematerijalna imovina - licence</t>
  </si>
  <si>
    <t>Licence</t>
  </si>
  <si>
    <t>Rashodi za nabavu proizvedene dug. imovine</t>
  </si>
  <si>
    <t>Postrojenja i oprema</t>
  </si>
  <si>
    <t>4221</t>
  </si>
  <si>
    <t>Uredska oprema i namještaj</t>
  </si>
  <si>
    <t>4222</t>
  </si>
  <si>
    <t>Komunikacijska oprema</t>
  </si>
  <si>
    <t>Oprema za održavanje iz zaštitu</t>
  </si>
  <si>
    <t>Medicinska i laboratorijska oprema</t>
  </si>
  <si>
    <t>Instrumenti, uređaji i strojevi</t>
  </si>
  <si>
    <t>Uređaji, strojevi i oprema za ostale namjene</t>
  </si>
  <si>
    <t>Prijevozna sredstva</t>
  </si>
  <si>
    <t xml:space="preserve">Nematerijalna proizvedena imovina </t>
  </si>
  <si>
    <t>Ulaganja u računalne programe</t>
  </si>
  <si>
    <t>45</t>
  </si>
  <si>
    <t>Rashodi za dodatna ulaganja na financijskoj imovini</t>
  </si>
  <si>
    <t>451</t>
  </si>
  <si>
    <t>Dodatna ulaganja na građevinskim objektima</t>
  </si>
  <si>
    <t>4511</t>
  </si>
  <si>
    <t>452</t>
  </si>
  <si>
    <t>Dodatna ulaganja na postrojenjima i opremi</t>
  </si>
  <si>
    <t>4521</t>
  </si>
  <si>
    <t>Dodatna ulaganja na potrojenjima i opremi</t>
  </si>
  <si>
    <t>Negativne tečajne razlike</t>
  </si>
  <si>
    <t>421</t>
  </si>
  <si>
    <t>Građevinski objekti</t>
  </si>
  <si>
    <t>4212</t>
  </si>
  <si>
    <t>Poslovni objekti</t>
  </si>
  <si>
    <t xml:space="preserve">Vlastiti prihodi </t>
  </si>
  <si>
    <t>Plaće za posebne uvjete rada</t>
  </si>
  <si>
    <t>313</t>
  </si>
  <si>
    <t>3132</t>
  </si>
  <si>
    <t>Doprinosi za obvezno zdravstveno osiguranje zaštite zdr na radu</t>
  </si>
  <si>
    <t>321</t>
  </si>
  <si>
    <t>3235</t>
  </si>
  <si>
    <t>3236</t>
  </si>
  <si>
    <t>3237</t>
  </si>
  <si>
    <t>329</t>
  </si>
  <si>
    <t>Ostali rashodi poslovanja</t>
  </si>
  <si>
    <t>3293</t>
  </si>
  <si>
    <t>3295</t>
  </si>
  <si>
    <t>422</t>
  </si>
  <si>
    <t xml:space="preserve">Pomoći </t>
  </si>
  <si>
    <t>3131</t>
  </si>
  <si>
    <t>Doprinosi za mirovinsko osiguranje</t>
  </si>
  <si>
    <t>Pomoći EU</t>
  </si>
  <si>
    <t>4223</t>
  </si>
  <si>
    <t>4224</t>
  </si>
  <si>
    <t>4225</t>
  </si>
  <si>
    <t>3292</t>
  </si>
  <si>
    <t>426</t>
  </si>
  <si>
    <t>4262</t>
  </si>
  <si>
    <t>71</t>
  </si>
  <si>
    <t>Prihodi od nefinancijske imovine i nadoknade šteta s osnova osiguranja</t>
  </si>
  <si>
    <t>Ukupni rashodi</t>
  </si>
  <si>
    <t>Županija</t>
  </si>
  <si>
    <t xml:space="preserve">PRIHODI PREMA EKONOMSKOJ KLASIFIKACIJI </t>
  </si>
  <si>
    <t>SAVJET: PRVO POPUNITE PRETHODNI LIST</t>
  </si>
  <si>
    <t>Pomoći od međunaodnih organizacija te institucija i tijela EU</t>
  </si>
  <si>
    <t>Kapitalne pomoći od instucija i tijela EU</t>
  </si>
  <si>
    <t>Pomoć proračunu iz drugih proračuna</t>
  </si>
  <si>
    <t>OVA TABLICA AUTOMATSKI POVLAČI IZNOSE IZ PRETHODNOG LISTA (PRIHODI PO EK KLAS I IZVORIMA)</t>
  </si>
  <si>
    <t>Tekuća pomoć proračunu iz drugih proračuna</t>
  </si>
  <si>
    <t>UKOLIKO STE U PRVOM LISTU DODAVALI RAČUNE MORATI ĆETE I U OVOME LISTU NAPRAVITI IZMJENE U FORMULI RAČUNA NA KOJI SE IZMJENA ODNOSI</t>
  </si>
  <si>
    <t>Kapitalna pomoć proračunu iz drugih proračuna</t>
  </si>
  <si>
    <t xml:space="preserve">Tekuće pomoći od izvanproračunskih korisnika </t>
  </si>
  <si>
    <t>Pomoć proračunskim korisnicima iz prorač.koji im nije nadležan</t>
  </si>
  <si>
    <t>Tekuće pomoći iz državnog prorač. prorač.korisnicima JLP(R)S</t>
  </si>
  <si>
    <t>Pomoć temeljem prijenosa EU</t>
  </si>
  <si>
    <t>kapitalna pomoć temeljem prijenosa EU</t>
  </si>
  <si>
    <t>Prijenosi između proračunskih korisnika</t>
  </si>
  <si>
    <t>Tekući prijenosi između proračunskih korisnika</t>
  </si>
  <si>
    <t>Kamate na oročena sredstva i depozite po viđenju</t>
  </si>
  <si>
    <t>Ostali prihode o financijske imovine</t>
  </si>
  <si>
    <t>Prihodi od prodaje i donacija</t>
  </si>
  <si>
    <t>Prihodi od prodaje roba i pruženih usluga (vlastiti prihodi)</t>
  </si>
  <si>
    <t>Prihodi od prodaje proizvoda i robe</t>
  </si>
  <si>
    <t>Donacije od pravnih i fizičkih osoba izvan proračuna</t>
  </si>
  <si>
    <t>Prihodi iz nadležnog proračuna i HZZOa</t>
  </si>
  <si>
    <t>Prihodi od HZZO-a</t>
  </si>
  <si>
    <t xml:space="preserve">     UKUPNO PRIHODI I PRIMICI:</t>
  </si>
  <si>
    <t>SAŽETAK  RAČUNA PRIHODA I RASHODA I  RAČUNA FINANCIRANJA</t>
  </si>
  <si>
    <t>EUR</t>
  </si>
  <si>
    <t>BROJČANA OZNAKA I NAZIV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</si>
  <si>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</si>
  <si>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</si>
  <si>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</si>
  <si>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</si>
  <si>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</si>
  <si>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</si>
  <si>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MANJAK</t>
  </si>
  <si>
    <t>8 PRIMICI OD FINANCIJSKE IMOVINE I ZADUŽIVANJA</t>
  </si>
  <si>
    <t>5 IZDACI ZA FINANCIJSKU IMOVINU I OTPLATE ZAJMOVA</t>
  </si>
  <si>
    <t>PRENESENI VIŠAK / MANJAK IZ PRETHODNE(IH) GODINE</t>
  </si>
  <si>
    <t>A. RAČUN PRIHODA I RASHODA</t>
  </si>
  <si>
    <t>Izvršenje prethodne godine I.-VI. 2022.</t>
  </si>
  <si>
    <t>REBALANS 2023.</t>
  </si>
  <si>
    <t xml:space="preserve"> RASHODI POSLOVANJA</t>
  </si>
  <si>
    <t>Plaće (Bruto)</t>
  </si>
  <si>
    <t xml:space="preserve">Doprinosi na plaće </t>
  </si>
  <si>
    <t xml:space="preserve">Doprinosi za obavezno zdravst.osig. </t>
  </si>
  <si>
    <t>Naknade za prijevoz</t>
  </si>
  <si>
    <t>Materijal i dijelovi za tekuće i invest. održavanja</t>
  </si>
  <si>
    <t>Usluge telefona, pošte</t>
  </si>
  <si>
    <t>Naknade osobama izvan radnog odnosa</t>
  </si>
  <si>
    <t>Naknade tr.osobama izvan radnog odnosa</t>
  </si>
  <si>
    <t>Naknade za rad izvršnih tijela</t>
  </si>
  <si>
    <t>Financijski  rashodi</t>
  </si>
  <si>
    <t>Bankarske i usluge platnog prometa</t>
  </si>
  <si>
    <t xml:space="preserve">Ostali nespomenuti financijski rashodi </t>
  </si>
  <si>
    <t>Pomoći dane u inozemstvo i unutar općeg proračuna</t>
  </si>
  <si>
    <t>Tekući prijenosi između proračunskog korisnika istog proračuna</t>
  </si>
  <si>
    <t>Kapitalni prijenosi između proračunskih korisnika istog proračuna</t>
  </si>
  <si>
    <t xml:space="preserve">Ostali rashodi </t>
  </si>
  <si>
    <t>Naknada štete pravnim i fizičkim osobama</t>
  </si>
  <si>
    <t>Naknade šteta zaposlenicima</t>
  </si>
  <si>
    <t>Ostali izvanredni rashodi</t>
  </si>
  <si>
    <t>Rashodi za nabavu neproizvedene dugotrajne  imovine</t>
  </si>
  <si>
    <t>Rashodi za nabavu proizvedene dugotrajne  imovine</t>
  </si>
  <si>
    <t>Oprema za održavanje i zaštitu</t>
  </si>
  <si>
    <t>Nematerijalna proizvedena imovina</t>
  </si>
  <si>
    <t>UKUPNI RASHODI I IZDACI:</t>
  </si>
  <si>
    <t xml:space="preserve">KORIŠTENJE DEC-a SREDSTAVA ŽUPANIJE </t>
  </si>
  <si>
    <t>Ostale nespomenute usluge</t>
  </si>
  <si>
    <t>II. POSEBNI DIO</t>
  </si>
  <si>
    <t xml:space="preserve"> Rashodi i izdaci po izvorima financiranja i ekonomskoj klasifikaciji raspoređenih u programe, aktivnosti i projekte</t>
  </si>
  <si>
    <t>Šifra</t>
  </si>
  <si>
    <t>Naziv</t>
  </si>
  <si>
    <t>PROGRAM</t>
  </si>
  <si>
    <t>RAD I RAZVOJ USTANOVE</t>
  </si>
  <si>
    <t>AKTIVNOST</t>
  </si>
  <si>
    <t xml:space="preserve">Redovna djelatnost </t>
  </si>
  <si>
    <t>3133</t>
  </si>
  <si>
    <t>Intelktualne usluge</t>
  </si>
  <si>
    <t>Prijenosi između prorač kor istog proračuna</t>
  </si>
  <si>
    <t>Kapitalni prijenosi između proračunskih korinsika istog prorač</t>
  </si>
  <si>
    <t>Naknade građanima i kućanstvima na temelju osig i dr nak</t>
  </si>
  <si>
    <t>Naknade građanima i kućanstvima iz proračuna</t>
  </si>
  <si>
    <t>Naknade šteta pravnim i fizičkim osobama</t>
  </si>
  <si>
    <t>Materijal i dijelovi za tek i invest održavanje</t>
  </si>
  <si>
    <t>Zaštitna odjeća i obuća</t>
  </si>
  <si>
    <t>3294</t>
  </si>
  <si>
    <t>3296</t>
  </si>
  <si>
    <t>34</t>
  </si>
  <si>
    <t>343</t>
  </si>
  <si>
    <t>3432</t>
  </si>
  <si>
    <t>3433</t>
  </si>
  <si>
    <t>3434</t>
  </si>
  <si>
    <t>37</t>
  </si>
  <si>
    <t>372</t>
  </si>
  <si>
    <t>3721</t>
  </si>
  <si>
    <t>383</t>
  </si>
  <si>
    <t>3834</t>
  </si>
  <si>
    <t>Ugovorne naknade i ostale naknade</t>
  </si>
  <si>
    <t>3835</t>
  </si>
  <si>
    <t>384</t>
  </si>
  <si>
    <t>Rashodi iz proteklih godina</t>
  </si>
  <si>
    <t>3842</t>
  </si>
  <si>
    <t>Ostali rashodi</t>
  </si>
  <si>
    <t>4</t>
  </si>
  <si>
    <t>412</t>
  </si>
  <si>
    <t>4123</t>
  </si>
  <si>
    <t>42</t>
  </si>
  <si>
    <t>4227</t>
  </si>
  <si>
    <t>423</t>
  </si>
  <si>
    <t>4231</t>
  </si>
  <si>
    <t>Ulaganja u računalna programe</t>
  </si>
  <si>
    <t>3833</t>
  </si>
  <si>
    <t>Naknade štete zaposlenicima</t>
  </si>
  <si>
    <t>KORIŠTENJE DEC-a SREDSTAVA ŽUPANIJE</t>
  </si>
  <si>
    <t>11</t>
  </si>
  <si>
    <t>Opći prihod i primitak</t>
  </si>
  <si>
    <t>Rashodi za nabavu proizvedene dugotrajne imovine</t>
  </si>
  <si>
    <t>Redovan program financiranja zdravstvenih ustanova iznad minimalnih standarda (pripravnost vozača saniteta u Iloku)</t>
  </si>
  <si>
    <t>32</t>
  </si>
  <si>
    <t>Redovan program financiranja zdravstvenih ustanova iznad minimalnih standarda (dodatna zdravstvena skrb braniteljske populacije-pregled usne šupljine)</t>
  </si>
  <si>
    <t>Redovan program financiranja zdravstvenih ustanova iznad minimalnih standarda (dodatna zdravstvena zaštita i promicanje dojenja)</t>
  </si>
  <si>
    <t>52</t>
  </si>
  <si>
    <t>Program obavljanja neophodnih aktivnosti zbog epidemije korona virusa</t>
  </si>
  <si>
    <t>36</t>
  </si>
  <si>
    <t>369</t>
  </si>
  <si>
    <t>3691</t>
  </si>
  <si>
    <t>Tekući prijenosi između proračunskih korisnika istog prorač.</t>
  </si>
  <si>
    <t>Sveukupno (kl.3 i kl.4)</t>
  </si>
  <si>
    <t xml:space="preserve">A. RAČUN PRIHODA I RASHODA </t>
  </si>
  <si>
    <t>IZVJEŠTAJ O RASHODIMA PREMA FUNKCIJSKOJ KLASIFIKACIJI</t>
  </si>
  <si>
    <t xml:space="preserve">UKUPNO RASHODI </t>
  </si>
  <si>
    <t>07 Zdravstvo</t>
  </si>
  <si>
    <t>072 Služba za vanjske pacijente</t>
  </si>
  <si>
    <t>0721 Opće medicinske usluge</t>
  </si>
  <si>
    <t>0722 Specijalističke med. usluge</t>
  </si>
  <si>
    <t>0723 Zubarske usluge</t>
  </si>
  <si>
    <t>073 Bolničke službe</t>
  </si>
  <si>
    <t>0731 Usluge općih bolnica</t>
  </si>
  <si>
    <t>074 Službe javnog zdravstva</t>
  </si>
  <si>
    <t xml:space="preserve">RASHODI PREMA EKONOMSKOJ KLASIFIKACIJI </t>
  </si>
  <si>
    <t>PRIHODI PREMA EKONOMSKOJ KLASIFIKACIJI I IZVORIMA FINANCIRANJA</t>
  </si>
  <si>
    <t>RASHODI PREMA EKONOMSKOJ KLASIFIKACIJI I IZVORIMA FINANCIRANJA</t>
  </si>
  <si>
    <t>Plaće po sudskim presudama</t>
  </si>
  <si>
    <t>Ostali nenavedeni rashodi za zaposlene</t>
  </si>
  <si>
    <t>Ostali rashodi za zaposlene-nagrade</t>
  </si>
  <si>
    <t>Otpremnine</t>
  </si>
  <si>
    <t>Darovi</t>
  </si>
  <si>
    <t>Naknade za bolest, invalidnost i smrt</t>
  </si>
  <si>
    <t>Regres za godišnji odmor</t>
  </si>
  <si>
    <t>Dnevnice za službeni put u zemlji</t>
  </si>
  <si>
    <t>Naknade za prijevoz, odvojeni život</t>
  </si>
  <si>
    <t>Naknade za smještaj na službenom putu u zemlji</t>
  </si>
  <si>
    <t>Naknade za prijevoz na službenom putu u zemlji</t>
  </si>
  <si>
    <t>Seminari, savjetovanja i simpoziji</t>
  </si>
  <si>
    <t>Tečajevi i stručni ispiti</t>
  </si>
  <si>
    <t>Naknada za korištenje privatnog automobila u službene svrhe</t>
  </si>
  <si>
    <t>Uredski materijal</t>
  </si>
  <si>
    <t>Literatura</t>
  </si>
  <si>
    <t>Materijal i sredstva za čišćenje i održavanje</t>
  </si>
  <si>
    <t>Službena, radna i zaštitna odjeća</t>
  </si>
  <si>
    <t>Ostali materijal za potrebe redovnog poslovanja</t>
  </si>
  <si>
    <t>Potrošni medicinski materijal</t>
  </si>
  <si>
    <t>Lijekovi</t>
  </si>
  <si>
    <t>Ostali materijal i sirovine</t>
  </si>
  <si>
    <t>Motorni benzin i dizel gorivo</t>
  </si>
  <si>
    <t>Električna energija</t>
  </si>
  <si>
    <t>Topla voda</t>
  </si>
  <si>
    <t>Plin</t>
  </si>
  <si>
    <t>Materijal i dijelovi za tekuće i invest. održavanje građevinskih objekata</t>
  </si>
  <si>
    <t>Materijal i dijelovi za tekuće i invest. održavanje transportnih sredstava</t>
  </si>
  <si>
    <t>Materijal i dijelovi za tekuće i invest. održavanje postrojenja i opreme</t>
  </si>
  <si>
    <t>Ostali materijal i dijelovi za tekuće i invest. održavanje</t>
  </si>
  <si>
    <t>Usluge telefona, telefaksa</t>
  </si>
  <si>
    <t>Poštarina</t>
  </si>
  <si>
    <t>Usluge tekućeg i investicijskog održavanja prijevoznih sredstava</t>
  </si>
  <si>
    <t>Usluge tekućeg i investicijskog održavanja građevinskih objekata</t>
  </si>
  <si>
    <t>Usluge tekućeg i investicijskog održavanja postrojenja i opreme</t>
  </si>
  <si>
    <t>Ostale usluge promidžbe i informiranja</t>
  </si>
  <si>
    <t>Opskrba vodom</t>
  </si>
  <si>
    <t>Iznošenje i odvoz smeća</t>
  </si>
  <si>
    <t>Deratizacija i dezinsekcija</t>
  </si>
  <si>
    <t>Ostale komunalne usluge</t>
  </si>
  <si>
    <t>Ostale zakupnine i najamnine</t>
  </si>
  <si>
    <t>Ostale zdravstvene i veterinarske usluge</t>
  </si>
  <si>
    <t>Ugovori o djelu</t>
  </si>
  <si>
    <t>Usluge odvjetnika i pravnog savjetovanja</t>
  </si>
  <si>
    <t>Ostale računalne usluge</t>
  </si>
  <si>
    <t>Usluge pri registraciji prijevoznih sredstava</t>
  </si>
  <si>
    <t>Usluge čišćenja, pranja i slično</t>
  </si>
  <si>
    <t>Premije osiguranja zaposlenih</t>
  </si>
  <si>
    <t>Premije osiguranja</t>
  </si>
  <si>
    <t>Premije osiguranja ostale imovine</t>
  </si>
  <si>
    <t>Premije osiguranja prijevoznih sredstava</t>
  </si>
  <si>
    <t>Tuzemne članarine</t>
  </si>
  <si>
    <t>Ostale pristojbe i naknade</t>
  </si>
  <si>
    <t>Sudske pristojbe</t>
  </si>
  <si>
    <t>Javnobilježničke pristojbe</t>
  </si>
  <si>
    <t>Rashodi protokola (vijenci, cvijeće, svijeće i slično)</t>
  </si>
  <si>
    <t>Naknade ostalih troškova</t>
  </si>
  <si>
    <t>Usluge platnog prometa</t>
  </si>
  <si>
    <t>Zatezne kamate na poreze</t>
  </si>
  <si>
    <t>Zatezne kamate za doprinose</t>
  </si>
  <si>
    <t>Zatezne kamate iz poslovnih odnosa</t>
  </si>
  <si>
    <t>Ostale zatezne kamate</t>
  </si>
  <si>
    <t>Pomoći obiteljima i kućanstvima</t>
  </si>
  <si>
    <t>Stipendije i školarine</t>
  </si>
  <si>
    <t>Računala i računalna oprema</t>
  </si>
  <si>
    <t>Uredski namještaj</t>
  </si>
  <si>
    <t>Ostala uredska oprema</t>
  </si>
  <si>
    <t>Oprema za održavanje prostorija</t>
  </si>
  <si>
    <t>Oprema za grijanje, ventilaciju i hlađenje</t>
  </si>
  <si>
    <t>Medicinska oprema</t>
  </si>
  <si>
    <t>Laboratorijska oprema</t>
  </si>
  <si>
    <t>Osobni automobili</t>
  </si>
  <si>
    <t>Sufinanciranje cijene usluge, participacija</t>
  </si>
  <si>
    <t>Prihodi od osiguranja i refundacije štete</t>
  </si>
  <si>
    <t>Refundacija plaća specijalizanata</t>
  </si>
  <si>
    <t>67111</t>
  </si>
  <si>
    <t>67121</t>
  </si>
  <si>
    <t>63414</t>
  </si>
  <si>
    <t>63612</t>
  </si>
  <si>
    <t>63814</t>
  </si>
  <si>
    <t>67311</t>
  </si>
  <si>
    <t>68311</t>
  </si>
  <si>
    <t>66151</t>
  </si>
  <si>
    <t>66313</t>
  </si>
  <si>
    <t>6631</t>
  </si>
  <si>
    <t>31111</t>
  </si>
  <si>
    <t>31113</t>
  </si>
  <si>
    <t>31131</t>
  </si>
  <si>
    <t>31141</t>
  </si>
  <si>
    <t>31212</t>
  </si>
  <si>
    <t>31213</t>
  </si>
  <si>
    <t>31214</t>
  </si>
  <si>
    <t>31215</t>
  </si>
  <si>
    <t>31216</t>
  </si>
  <si>
    <t>31219</t>
  </si>
  <si>
    <t>31321</t>
  </si>
  <si>
    <t>32121</t>
  </si>
  <si>
    <t>32141</t>
  </si>
  <si>
    <t>32221</t>
  </si>
  <si>
    <t>32226</t>
  </si>
  <si>
    <t>32229</t>
  </si>
  <si>
    <t>32231</t>
  </si>
  <si>
    <t>32232</t>
  </si>
  <si>
    <t>32233</t>
  </si>
  <si>
    <t>32234</t>
  </si>
  <si>
    <t>32251</t>
  </si>
  <si>
    <t>32271</t>
  </si>
  <si>
    <t>32311</t>
  </si>
  <si>
    <t>32313</t>
  </si>
  <si>
    <t>32339</t>
  </si>
  <si>
    <t>Ostale intelektualne usluge</t>
  </si>
  <si>
    <t>32412</t>
  </si>
  <si>
    <t>Pomoći obitelji i kućanstvima</t>
  </si>
  <si>
    <t>41112</t>
  </si>
  <si>
    <t>45111</t>
  </si>
  <si>
    <t>32115</t>
  </si>
  <si>
    <t>32132</t>
  </si>
  <si>
    <t>32211</t>
  </si>
  <si>
    <t>32369</t>
  </si>
  <si>
    <t>32372</t>
  </si>
  <si>
    <t>32399</t>
  </si>
  <si>
    <t>32921</t>
  </si>
  <si>
    <t>Premija osiguranja prijevoznih sredstava</t>
  </si>
  <si>
    <t>42241</t>
  </si>
  <si>
    <t>32389</t>
  </si>
  <si>
    <t>3111</t>
  </si>
  <si>
    <t>32111</t>
  </si>
  <si>
    <t>42212</t>
  </si>
  <si>
    <t>42231</t>
  </si>
  <si>
    <t>42273</t>
  </si>
  <si>
    <t>32321</t>
  </si>
  <si>
    <t>32322</t>
  </si>
  <si>
    <t>32323</t>
  </si>
  <si>
    <t>42211</t>
  </si>
  <si>
    <t>32113</t>
  </si>
  <si>
    <t>Naknada za korištenje privatnog autoobila u službene svrhe</t>
  </si>
  <si>
    <t>32131</t>
  </si>
  <si>
    <t>32212</t>
  </si>
  <si>
    <t>32214</t>
  </si>
  <si>
    <t>32215</t>
  </si>
  <si>
    <t>32219</t>
  </si>
  <si>
    <t>Ostale sirovine</t>
  </si>
  <si>
    <t>32241</t>
  </si>
  <si>
    <t>32242</t>
  </si>
  <si>
    <t>32243</t>
  </si>
  <si>
    <t>32244</t>
  </si>
  <si>
    <t>32341</t>
  </si>
  <si>
    <t>32342</t>
  </si>
  <si>
    <t>32343</t>
  </si>
  <si>
    <t>Tuzemna članarine</t>
  </si>
  <si>
    <t>42219</t>
  </si>
  <si>
    <t>Materijal i dijelovi za tek i invest održavanje građ. objekata</t>
  </si>
  <si>
    <t>32931</t>
  </si>
  <si>
    <t xml:space="preserve">Materijal i dijelovi za tekuće i investicijsko održavanje </t>
  </si>
  <si>
    <t>Materijal i dijelovi za tekuće i investicijsko održavanje građ. objekata</t>
  </si>
  <si>
    <t>3226</t>
  </si>
  <si>
    <t>Ostale  usluge</t>
  </si>
  <si>
    <t>Naknade za rad predstavničkih i izvršnih tijela, povjerenstava i sl.</t>
  </si>
  <si>
    <t>SAŽETAK  RAČUNA PRIHODA I RASHODA</t>
  </si>
  <si>
    <t>SAŽETAK RAČUNA FINANCIRANJA</t>
  </si>
  <si>
    <t>PRENESENI VIŠAK ILI PRENESENI MANJAK</t>
  </si>
  <si>
    <t>VIŠAK/MANJAK IZ PRETHODNE GODINE KOJI ĆE SE RASPOREDITI/POKRITI</t>
  </si>
  <si>
    <t>RAZLIKA PRIMITAKA I IZDATAKA</t>
  </si>
  <si>
    <t>6=5/3*100</t>
  </si>
  <si>
    <t>Indeks</t>
  </si>
  <si>
    <t>63313</t>
  </si>
  <si>
    <t>Tekuće potpore iz gradskog proračuna</t>
  </si>
  <si>
    <t>Prihodi od zateznih kamata</t>
  </si>
  <si>
    <t>7=5/4*100</t>
  </si>
  <si>
    <t>B. RAČUN FINANCIRANJA - prema ekonomskoj klasifikaciji i prema izvorima financiranja</t>
  </si>
  <si>
    <t>Skupina</t>
  </si>
  <si>
    <t>6=5/2*100</t>
  </si>
  <si>
    <t>Primici od financijske imovine i zaduživanja</t>
  </si>
  <si>
    <t>Primici od zaduživanja</t>
  </si>
  <si>
    <t>842</t>
  </si>
  <si>
    <t>Primljeni krediti i zajmovi od kreditnih i ostalih financijskih institucija u javnom sektoru</t>
  </si>
  <si>
    <t>Primljeni krediti od kreditnih institucija u javnom sektoru</t>
  </si>
  <si>
    <t>Namjenski primici od zaduživanja</t>
  </si>
  <si>
    <t>Izdaci za financijsku imovinu i otplate zajmova</t>
  </si>
  <si>
    <t>Izdaci za otplatu glavnice primljenih kredita i zajmova</t>
  </si>
  <si>
    <t>542</t>
  </si>
  <si>
    <t>Otplata glavnice primljenih kredita i zajmova od kreditnih i ostalih financijskih institucija u javnom sektoru</t>
  </si>
  <si>
    <t>5422</t>
  </si>
  <si>
    <t>Otplata glavnice primljenih kredita od kreditnih institucija u javnom sektoru</t>
  </si>
  <si>
    <t>31332</t>
  </si>
  <si>
    <t>Doprinosi za obvezno osiguranje u slučaju nezaposlenosti</t>
  </si>
  <si>
    <t>Doprinosi za zapošljavanje</t>
  </si>
  <si>
    <t xml:space="preserve">UKUPNO PRIHODI </t>
  </si>
  <si>
    <t xml:space="preserve">   11 Opći prihodi i primici</t>
  </si>
  <si>
    <t xml:space="preserve">   31 Vlastiti prihodi</t>
  </si>
  <si>
    <t xml:space="preserve">   43 Prihodi za posebne namjene (HZZO)</t>
  </si>
  <si>
    <t xml:space="preserve">   43 Prihodi za posebne namjene (dopunsko osiguranje, participacija,…)</t>
  </si>
  <si>
    <t xml:space="preserve">   43 Ostali prihodi</t>
  </si>
  <si>
    <t xml:space="preserve">   52 Ostale pomoći</t>
  </si>
  <si>
    <t xml:space="preserve">   61 Donacije</t>
  </si>
  <si>
    <t xml:space="preserve">   71 Prihodi od nefinancijske imovine i naknade štete s naslova osiguranja</t>
  </si>
  <si>
    <t xml:space="preserve">   43 Prihodi za posebne namjene</t>
  </si>
  <si>
    <t>PRIHODI I RASHODI PREMA IZVORIMA FINANCIRANJA</t>
  </si>
  <si>
    <t>R.br.</t>
  </si>
  <si>
    <t>Prihodi od nefinancijske imovine i naknade štete s naslova osiguranja</t>
  </si>
  <si>
    <t>Donacije</t>
  </si>
  <si>
    <t>Vlastiti prihodi</t>
  </si>
  <si>
    <t>Prihodi za posebne namjene</t>
  </si>
  <si>
    <t>Opis</t>
  </si>
  <si>
    <t>Ostvareno</t>
  </si>
  <si>
    <t>Naknade građanima i kućanstvima na temelju osiguranja i druge naknade</t>
  </si>
  <si>
    <t>32319</t>
  </si>
  <si>
    <t>Ostale usluge za komunikaciju i prijevoz</t>
  </si>
  <si>
    <t>Geodetsko-katastarske usluge</t>
  </si>
  <si>
    <t>6=5/4*100</t>
  </si>
  <si>
    <t>Materijal i dijelovi za tekuće i invest. održavanje građ. objekata</t>
  </si>
  <si>
    <t>Program dodjele financijskih sredstava Ministarstva zdravstva u području prevencije ovisnosti i ponašajnih ovisnosti "Stop ovisnostima"</t>
  </si>
  <si>
    <t>Kapitalne pomoći iz državnog proračuna proračunskim korisnicima JLP(R)S</t>
  </si>
  <si>
    <t>63312</t>
  </si>
  <si>
    <t>Tekuće potpore iz županijskog proračuna</t>
  </si>
  <si>
    <t>66153</t>
  </si>
  <si>
    <t>Prihodi za udio troškova u zakupu</t>
  </si>
  <si>
    <t>32379</t>
  </si>
  <si>
    <t>32394</t>
  </si>
  <si>
    <t>32923</t>
  </si>
  <si>
    <t>32999</t>
  </si>
  <si>
    <t>63622</t>
  </si>
  <si>
    <t>6362</t>
  </si>
  <si>
    <t>IZVORNI PLAN ZA 2025.</t>
  </si>
  <si>
    <t>TEKUĆI PLAN 2025.</t>
  </si>
  <si>
    <t>Materijal i dijelovi za tek uće i investicijsko održavanje</t>
  </si>
  <si>
    <t>Program dodjele financijskih sredstava HEP-a na ime naknade za proizvod ZelEn (Fotonaponska elektrana na krovištu Doma zdravlja Vukovar)</t>
  </si>
  <si>
    <t>Kombi vozila</t>
  </si>
  <si>
    <t>Dopunsko osiguranje</t>
  </si>
  <si>
    <t>325</t>
  </si>
  <si>
    <t>3251</t>
  </si>
  <si>
    <t>32511</t>
  </si>
  <si>
    <t>32513</t>
  </si>
  <si>
    <t>Rashodi po osnovi utroška lijekova</t>
  </si>
  <si>
    <t>Rashodi po osnovi utroška potrošnog medicinskog materijala</t>
  </si>
  <si>
    <t>Nepredviđeni rashodi do visine proračunske pričuve</t>
  </si>
  <si>
    <t>Izvanredni rashodi</t>
  </si>
  <si>
    <t>Izvorni plan 2025.</t>
  </si>
  <si>
    <t xml:space="preserve">Plan </t>
  </si>
  <si>
    <t>Ostali instrumenti i uređaji</t>
  </si>
  <si>
    <t xml:space="preserve"> IZVJEŠTAJ O IZVRŠENJU FINANCIJSKOG PLANA DOMA ZDRAVLJA VUKOVAR ZA RAZDOBLJE OD 01.01. DO 31.12.2025. GODINE</t>
  </si>
  <si>
    <t>Premija osiguranja zaposlenih</t>
  </si>
  <si>
    <t>OSTVARENJE/ IZVRŠENJE 1.-12.2024.</t>
  </si>
  <si>
    <t>OSTVARENJE/ IZVRŠENJE 1.-12.2025.</t>
  </si>
  <si>
    <t>Program financiranja projekta "Pokretni dijagnostički centar" od strane Fonda za obnovu i razvoj Grada Vukovara</t>
  </si>
  <si>
    <t>Program financiranja zdravstvenih ustanova iz fondova EU (projekt specijalističko usavršavanje dva doktora medicine iz obiteljske medicine)</t>
  </si>
  <si>
    <t>Program financiranja zdravstvenih ustanova iz fondova EU (projekt specijalističko usavršavanje jednog doktora medicine iz obiteljske medicine)</t>
  </si>
  <si>
    <t>32373</t>
  </si>
  <si>
    <t>32941</t>
  </si>
  <si>
    <t>Novčana naknada poslodavca zbog nezapošljavanja invalida</t>
  </si>
  <si>
    <t>Redovna aktivnost</t>
  </si>
  <si>
    <t>*Financiranje izvan županijskog proračuna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</si>
</sst>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&quot;kn&quot;_-;\-* #,##0.00\ &quot;kn&quot;_-;_-* &quot;-&quot;??\ &quot;kn&quot;_-;_-@_-"/>
    <numFmt numFmtId="165" formatCode="_-* #,##0.00\ [$€-1]_-;\-* #,##0.00\ [$€-1]_-;_-* &quot;-&quot;??\ [$€-1]_-;_-@_-"/>
    <numFmt numFmtId="166" formatCode="_-* #,##0.00\ [$€-41A]_-;\-* #,##0.00\ [$€-41A]_-;_-* &quot;-&quot;??\ [$€-41A]_-;_-@_-"/>
    <numFmt numFmtId="167" formatCode="#,##0.00_ ;\-#,##0.00\ 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indexed="8"/>
      <name val="MS Sans Serif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Times New Roman"/>
      <family val="1"/>
      <charset val="238"/>
    </font>
    <font>
      <b/>
      <sz val="14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sz val="8"/>
      <name val="Calibri"/>
      <family val="2"/>
      <scheme val="minor"/>
    </font>
    <font>
      <b/>
      <sz val="12"/>
      <color rgb="FF002060"/>
      <name val="Times New Roman"/>
      <family val="1"/>
      <charset val="238"/>
    </font>
    <font>
      <i/>
      <sz val="11"/>
      <color rgb="FF002060"/>
      <name val="Times New Roman"/>
      <family val="1"/>
      <charset val="238"/>
    </font>
    <font>
      <i/>
      <sz val="12"/>
      <color rgb="FF002060"/>
      <name val="Times New Roman"/>
      <family val="1"/>
      <charset val="238"/>
    </font>
    <font>
      <b/>
      <i/>
      <sz val="12"/>
      <color rgb="FF002060"/>
      <name val="Times New Roman"/>
      <family val="1"/>
      <charset val="238"/>
    </font>
    <font>
      <b/>
      <i/>
      <sz val="11"/>
      <color rgb="FF002060"/>
      <name val="Times New Roman"/>
      <family val="1"/>
      <charset val="238"/>
    </font>
    <font>
      <b/>
      <sz val="12"/>
      <color theme="8" tint="-0.499984740745262"/>
      <name val="Times New Roman"/>
      <family val="1"/>
      <charset val="238"/>
    </font>
    <font>
      <b/>
      <sz val="16"/>
      <color rgb="FF002060"/>
      <name val="Times New Roman"/>
      <family val="1"/>
      <charset val="238"/>
    </font>
    <font>
      <b/>
      <i/>
      <sz val="8"/>
      <color rgb="FF002060"/>
      <name val="Times New Roman"/>
      <family val="1"/>
      <charset val="238"/>
    </font>
    <font>
      <i/>
      <sz val="8"/>
      <color rgb="FF002060"/>
      <name val="Times New Roman"/>
      <family val="1"/>
      <charset val="238"/>
    </font>
    <font>
      <b/>
      <i/>
      <sz val="14"/>
      <color rgb="FF002060"/>
      <name val="Times New Roman"/>
      <family val="1"/>
      <charset val="238"/>
    </font>
    <font>
      <b/>
      <i/>
      <sz val="11"/>
      <color rgb="FFFF0000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b/>
      <i/>
      <sz val="12"/>
      <color rgb="FFFF0000"/>
      <name val="Times New Roman"/>
      <family val="1"/>
      <charset val="238"/>
    </font>
    <font>
      <b/>
      <sz val="11"/>
      <color rgb="FF002060"/>
      <name val="Times New Roman"/>
      <family val="1"/>
      <charset val="238"/>
    </font>
    <font>
      <sz val="11"/>
      <color rgb="FF002060"/>
      <name val="Times New Roman"/>
      <family val="1"/>
      <charset val="238"/>
    </font>
    <font>
      <sz val="12"/>
      <color rgb="FF00206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i/>
      <sz val="12"/>
      <color theme="3" tint="-0.499984740745262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theme="3" tint="-0.249977111117893"/>
      <name val="Times New Roman"/>
      <family val="1"/>
      <charset val="238"/>
    </font>
    <font>
      <i/>
      <sz val="11"/>
      <color rgb="FF000000"/>
      <name val="Times New Roman"/>
      <family val="1"/>
      <charset val="238"/>
    </font>
    <font>
      <b/>
      <i/>
      <sz val="11"/>
      <color rgb="FF000000"/>
      <name val="Times New Roman"/>
      <family val="1"/>
      <charset val="238"/>
    </font>
    <font>
      <b/>
      <sz val="11"/>
      <color theme="8" tint="-0.499984740745262"/>
      <name val="Times New Roman"/>
      <family val="1"/>
      <charset val="238"/>
    </font>
    <font>
      <i/>
      <sz val="11"/>
      <color rgb="FFFF0000"/>
      <name val="Times New Roman"/>
      <family val="1"/>
      <charset val="238"/>
    </font>
    <font>
      <b/>
      <sz val="11"/>
      <color theme="3" tint="-0.499984740745262"/>
      <name val="Times New Roman"/>
      <family val="1"/>
      <charset val="238"/>
    </font>
    <font>
      <sz val="11"/>
      <color theme="3" tint="-0.499984740745262"/>
      <name val="Times New Roman"/>
      <family val="1"/>
      <charset val="238"/>
    </font>
    <font>
      <sz val="12"/>
      <color theme="3" tint="-0.499984740745262"/>
      <name val="Times New Roman"/>
      <family val="1"/>
      <charset val="238"/>
    </font>
    <font>
      <b/>
      <i/>
      <sz val="11"/>
      <color theme="8" tint="-0.499984740745262"/>
      <name val="Times New Roman"/>
      <family val="1"/>
      <charset val="238"/>
    </font>
    <font>
      <sz val="11"/>
      <color theme="8" tint="-0.499984740745262"/>
      <name val="Times New Roman"/>
      <family val="1"/>
      <charset val="238"/>
    </font>
    <font>
      <b/>
      <sz val="11"/>
      <color theme="4" tint="-0.499984740745262"/>
      <name val="Times New Roman"/>
      <family val="1"/>
      <charset val="238"/>
    </font>
    <font>
      <sz val="11"/>
      <name val="Times New Roman"/>
      <family val="1"/>
      <charset val="238"/>
    </font>
    <font>
      <b/>
      <sz val="12"/>
      <color theme="3" tint="-0.249977111117893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1"/>
      <color theme="3" tint="-0.249977111117893"/>
      <name val="Times New Roman"/>
      <family val="1"/>
      <charset val="238"/>
    </font>
    <font>
      <b/>
      <i/>
      <sz val="11"/>
      <name val="Times New Roman"/>
      <family val="1"/>
      <charset val="238"/>
    </font>
    <font>
      <i/>
      <sz val="8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b/>
      <i/>
      <sz val="9"/>
      <color rgb="FF002060"/>
      <name val="Times New Roman"/>
      <family val="1"/>
      <charset val="238"/>
    </font>
    <font>
      <b/>
      <i/>
      <sz val="9"/>
      <color theme="3" tint="-0.249977111117893"/>
      <name val="Times New Roman"/>
      <family val="1"/>
      <charset val="238"/>
    </font>
    <font>
      <i/>
      <sz val="9"/>
      <color rgb="FF000000"/>
      <name val="Times New Roman"/>
      <family val="1"/>
      <charset val="238"/>
    </font>
    <font>
      <i/>
      <sz val="12"/>
      <color rgb="FF000000"/>
      <name val="Times New Roman"/>
      <family val="1"/>
      <charset val="238"/>
    </font>
    <font>
      <i/>
      <sz val="12"/>
      <name val="Times New Roman"/>
      <family val="1"/>
      <charset val="238"/>
    </font>
    <font>
      <sz val="12"/>
      <color theme="3" tint="-0.249977111117893"/>
      <name val="Times New Roman"/>
      <family val="1"/>
      <charset val="238"/>
    </font>
    <font>
      <b/>
      <sz val="12"/>
      <color theme="3" tint="-0.499984740745262"/>
      <name val="Times New Roman"/>
      <family val="1"/>
      <charset val="238"/>
    </font>
    <font>
      <sz val="12"/>
      <color theme="3" tint="0.39997558519241921"/>
      <name val="Times New Roman"/>
      <family val="1"/>
      <charset val="238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rgb="FF00206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2060"/>
      </top>
      <bottom style="thin">
        <color rgb="FF002060"/>
      </bottom>
      <diagonal/>
    </border>
    <border>
      <left style="thin">
        <color indexed="64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206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3" fillId="0" borderId="0"/>
    <xf numFmtId="164" fontId="4" fillId="0" borderId="0" applyFont="0" applyFill="0" applyBorder="0" applyAlignment="0" applyProtection="0"/>
    <xf numFmtId="0" fontId="3" fillId="0" borderId="0"/>
    <xf numFmtId="0" fontId="1" fillId="0" borderId="0"/>
    <xf numFmtId="0" fontId="5" fillId="0" borderId="0"/>
    <xf numFmtId="0" fontId="1" fillId="0" borderId="0"/>
  </cellStyleXfs>
  <cellXfs count="825">
    <xf numFmtId="0" fontId="0" fillId="0" borderId="0" xfId="0"/>
    <xf numFmtId="0" fontId="6" fillId="0" borderId="0" xfId="0" applyFont="1"/>
    <xf numFmtId="0" fontId="7" fillId="0" borderId="0" xfId="0" applyFont="1"/>
    <xf numFmtId="0" fontId="10" fillId="0" borderId="24" xfId="3" applyFont="1" applyBorder="1" applyAlignment="1">
      <alignment horizontal="center" vertical="center" wrapText="1"/>
    </xf>
    <xf numFmtId="0" fontId="10" fillId="0" borderId="19" xfId="3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165" fontId="9" fillId="0" borderId="0" xfId="3" applyNumberFormat="1" applyFont="1" applyAlignment="1">
      <alignment horizontal="right" vertical="center" wrapText="1"/>
    </xf>
    <xf numFmtId="0" fontId="11" fillId="0" borderId="2" xfId="0" applyFont="1" applyBorder="1"/>
    <xf numFmtId="0" fontId="10" fillId="0" borderId="18" xfId="2" applyFont="1" applyBorder="1" applyAlignment="1">
      <alignment horizontal="center" vertical="center" wrapText="1"/>
    </xf>
    <xf numFmtId="0" fontId="10" fillId="0" borderId="2" xfId="6" applyFont="1" applyBorder="1" applyAlignment="1">
      <alignment horizontal="center" vertical="center" wrapText="1"/>
    </xf>
    <xf numFmtId="0" fontId="10" fillId="0" borderId="21" xfId="2" applyFont="1" applyBorder="1" applyAlignment="1">
      <alignment horizontal="center" vertical="center" wrapText="1"/>
    </xf>
    <xf numFmtId="165" fontId="10" fillId="0" borderId="25" xfId="3" applyNumberFormat="1" applyFont="1" applyBorder="1" applyAlignment="1">
      <alignment horizontal="right" vertical="center" wrapText="1"/>
    </xf>
    <xf numFmtId="2" fontId="10" fillId="0" borderId="25" xfId="8" applyNumberFormat="1" applyFont="1" applyBorder="1" applyAlignment="1">
      <alignment horizontal="right" vertical="center"/>
    </xf>
    <xf numFmtId="49" fontId="10" fillId="0" borderId="21" xfId="8" applyNumberFormat="1" applyFont="1" applyBorder="1" applyAlignment="1">
      <alignment vertical="center" wrapText="1"/>
    </xf>
    <xf numFmtId="165" fontId="10" fillId="0" borderId="25" xfId="8" applyNumberFormat="1" applyFont="1" applyBorder="1" applyAlignment="1">
      <alignment horizontal="right" vertical="center"/>
    </xf>
    <xf numFmtId="49" fontId="10" fillId="0" borderId="21" xfId="8" applyNumberFormat="1" applyFont="1" applyBorder="1" applyAlignment="1">
      <alignment vertical="center"/>
    </xf>
    <xf numFmtId="49" fontId="10" fillId="0" borderId="22" xfId="8" applyNumberFormat="1" applyFont="1" applyBorder="1" applyAlignment="1">
      <alignment vertical="center"/>
    </xf>
    <xf numFmtId="49" fontId="10" fillId="0" borderId="22" xfId="8" applyNumberFormat="1" applyFont="1" applyBorder="1" applyAlignment="1">
      <alignment vertical="center" wrapText="1"/>
    </xf>
    <xf numFmtId="49" fontId="10" fillId="0" borderId="31" xfId="8" applyNumberFormat="1" applyFont="1" applyBorder="1" applyAlignment="1">
      <alignment vertical="center" wrapText="1"/>
    </xf>
    <xf numFmtId="165" fontId="10" fillId="0" borderId="26" xfId="8" applyNumberFormat="1" applyFont="1" applyBorder="1" applyAlignment="1">
      <alignment horizontal="right" vertical="center"/>
    </xf>
    <xf numFmtId="165" fontId="10" fillId="0" borderId="2" xfId="8" applyNumberFormat="1" applyFont="1" applyBorder="1" applyAlignment="1">
      <alignment horizontal="right" vertical="center"/>
    </xf>
    <xf numFmtId="165" fontId="10" fillId="0" borderId="4" xfId="8" applyNumberFormat="1" applyFont="1" applyBorder="1" applyAlignment="1">
      <alignment horizontal="right" vertical="center"/>
    </xf>
    <xf numFmtId="49" fontId="10" fillId="0" borderId="2" xfId="8" applyNumberFormat="1" applyFont="1" applyBorder="1" applyAlignment="1">
      <alignment vertical="center" wrapText="1"/>
    </xf>
    <xf numFmtId="0" fontId="11" fillId="0" borderId="2" xfId="0" applyFont="1" applyBorder="1" applyAlignment="1">
      <alignment wrapText="1"/>
    </xf>
    <xf numFmtId="166" fontId="11" fillId="0" borderId="2" xfId="0" applyNumberFormat="1" applyFont="1" applyBorder="1"/>
    <xf numFmtId="2" fontId="11" fillId="0" borderId="2" xfId="0" applyNumberFormat="1" applyFont="1" applyBorder="1"/>
    <xf numFmtId="0" fontId="11" fillId="0" borderId="2" xfId="0" applyFont="1" applyBorder="1" applyAlignment="1">
      <alignment horizontal="center"/>
    </xf>
    <xf numFmtId="0" fontId="12" fillId="0" borderId="0" xfId="0" applyFont="1"/>
    <xf numFmtId="0" fontId="10" fillId="0" borderId="2" xfId="3" applyFont="1" applyBorder="1" applyAlignment="1">
      <alignment horizontal="center" vertical="center" wrapText="1"/>
    </xf>
    <xf numFmtId="0" fontId="14" fillId="2" borderId="0" xfId="2" applyFont="1" applyFill="1" applyAlignment="1">
      <alignment horizontal="center" vertical="center" wrapText="1"/>
    </xf>
    <xf numFmtId="165" fontId="14" fillId="4" borderId="2" xfId="3" applyNumberFormat="1" applyFont="1" applyFill="1" applyBorder="1" applyAlignment="1">
      <alignment horizontal="center" vertical="center" wrapText="1"/>
    </xf>
    <xf numFmtId="165" fontId="19" fillId="4" borderId="30" xfId="3" applyNumberFormat="1" applyFont="1" applyFill="1" applyBorder="1" applyAlignment="1">
      <alignment horizontal="center" vertical="center" wrapText="1"/>
    </xf>
    <xf numFmtId="165" fontId="19" fillId="4" borderId="3" xfId="3" applyNumberFormat="1" applyFont="1" applyFill="1" applyBorder="1" applyAlignment="1">
      <alignment horizontal="center" vertical="center" wrapText="1"/>
    </xf>
    <xf numFmtId="0" fontId="19" fillId="4" borderId="3" xfId="3" applyFont="1" applyFill="1" applyBorder="1" applyAlignment="1">
      <alignment horizontal="center" vertical="center" wrapText="1"/>
    </xf>
    <xf numFmtId="0" fontId="19" fillId="4" borderId="2" xfId="3" applyFont="1" applyFill="1" applyBorder="1" applyAlignment="1">
      <alignment horizontal="center" vertical="center" wrapText="1"/>
    </xf>
    <xf numFmtId="0" fontId="21" fillId="3" borderId="2" xfId="3" applyFont="1" applyFill="1" applyBorder="1" applyAlignment="1">
      <alignment horizontal="center" vertical="center" wrapText="1"/>
    </xf>
    <xf numFmtId="0" fontId="21" fillId="3" borderId="2" xfId="4" applyNumberFormat="1" applyFont="1" applyFill="1" applyBorder="1" applyAlignment="1">
      <alignment horizontal="center" vertical="center" wrapText="1"/>
    </xf>
    <xf numFmtId="0" fontId="22" fillId="0" borderId="2" xfId="3" applyFont="1" applyBorder="1" applyAlignment="1">
      <alignment horizontal="center" vertical="center"/>
    </xf>
    <xf numFmtId="49" fontId="27" fillId="0" borderId="2" xfId="5" applyNumberFormat="1" applyFont="1" applyBorder="1" applyAlignment="1">
      <alignment horizontal="right" vertical="center"/>
    </xf>
    <xf numFmtId="0" fontId="27" fillId="0" borderId="2" xfId="5" applyFont="1" applyBorder="1" applyAlignment="1">
      <alignment vertical="center"/>
    </xf>
    <xf numFmtId="49" fontId="28" fillId="0" borderId="2" xfId="5" applyNumberFormat="1" applyFont="1" applyBorder="1" applyAlignment="1">
      <alignment horizontal="right" vertical="center"/>
    </xf>
    <xf numFmtId="0" fontId="28" fillId="0" borderId="2" xfId="5" applyFont="1" applyBorder="1" applyAlignment="1">
      <alignment vertical="center"/>
    </xf>
    <xf numFmtId="0" fontId="27" fillId="0" borderId="2" xfId="5" applyFont="1" applyBorder="1" applyAlignment="1">
      <alignment vertical="center" wrapText="1"/>
    </xf>
    <xf numFmtId="0" fontId="28" fillId="0" borderId="2" xfId="5" applyFont="1" applyBorder="1" applyAlignment="1">
      <alignment vertical="center" wrapText="1"/>
    </xf>
    <xf numFmtId="0" fontId="28" fillId="4" borderId="2" xfId="5" applyFont="1" applyFill="1" applyBorder="1" applyAlignment="1">
      <alignment horizontal="right" vertical="center"/>
    </xf>
    <xf numFmtId="49" fontId="28" fillId="4" borderId="2" xfId="5" applyNumberFormat="1" applyFont="1" applyFill="1" applyBorder="1" applyAlignment="1">
      <alignment horizontal="left" vertical="center"/>
    </xf>
    <xf numFmtId="0" fontId="27" fillId="0" borderId="2" xfId="5" applyFont="1" applyBorder="1" applyAlignment="1">
      <alignment horizontal="right" vertical="center"/>
    </xf>
    <xf numFmtId="49" fontId="27" fillId="0" borderId="2" xfId="5" applyNumberFormat="1" applyFont="1" applyBorder="1" applyAlignment="1">
      <alignment horizontal="left" vertical="center"/>
    </xf>
    <xf numFmtId="0" fontId="28" fillId="0" borderId="2" xfId="5" applyFont="1" applyBorder="1" applyAlignment="1">
      <alignment horizontal="right" vertical="center"/>
    </xf>
    <xf numFmtId="49" fontId="28" fillId="0" borderId="2" xfId="5" applyNumberFormat="1" applyFont="1" applyBorder="1" applyAlignment="1">
      <alignment horizontal="left" vertical="center"/>
    </xf>
    <xf numFmtId="49" fontId="27" fillId="0" borderId="2" xfId="5" applyNumberFormat="1" applyFont="1" applyBorder="1" applyAlignment="1">
      <alignment vertical="center"/>
    </xf>
    <xf numFmtId="165" fontId="27" fillId="0" borderId="2" xfId="3" applyNumberFormat="1" applyFont="1" applyBorder="1" applyAlignment="1">
      <alignment horizontal="right" vertical="center"/>
    </xf>
    <xf numFmtId="49" fontId="28" fillId="4" borderId="2" xfId="5" applyNumberFormat="1" applyFont="1" applyFill="1" applyBorder="1" applyAlignment="1">
      <alignment vertical="center"/>
    </xf>
    <xf numFmtId="49" fontId="27" fillId="4" borderId="2" xfId="3" applyNumberFormat="1" applyFont="1" applyFill="1" applyBorder="1" applyAlignment="1">
      <alignment vertical="center"/>
    </xf>
    <xf numFmtId="49" fontId="28" fillId="4" borderId="2" xfId="3" applyNumberFormat="1" applyFont="1" applyFill="1" applyBorder="1" applyAlignment="1">
      <alignment vertical="center"/>
    </xf>
    <xf numFmtId="49" fontId="28" fillId="0" borderId="2" xfId="5" applyNumberFormat="1" applyFont="1" applyBorder="1" applyAlignment="1">
      <alignment vertical="center"/>
    </xf>
    <xf numFmtId="0" fontId="28" fillId="0" borderId="2" xfId="3" applyFont="1" applyBorder="1" applyAlignment="1">
      <alignment vertical="center"/>
    </xf>
    <xf numFmtId="3" fontId="28" fillId="0" borderId="0" xfId="3" applyNumberFormat="1" applyFont="1" applyAlignment="1">
      <alignment vertical="center"/>
    </xf>
    <xf numFmtId="0" fontId="35" fillId="2" borderId="0" xfId="3" applyFont="1" applyFill="1" applyAlignment="1">
      <alignment vertical="center"/>
    </xf>
    <xf numFmtId="3" fontId="18" fillId="4" borderId="0" xfId="3" applyNumberFormat="1" applyFont="1" applyFill="1" applyAlignment="1">
      <alignment horizontal="center" vertical="center"/>
    </xf>
    <xf numFmtId="165" fontId="18" fillId="4" borderId="0" xfId="3" applyNumberFormat="1" applyFont="1" applyFill="1" applyAlignment="1">
      <alignment horizontal="center" vertical="center"/>
    </xf>
    <xf numFmtId="0" fontId="35" fillId="0" borderId="0" xfId="3" applyFont="1" applyAlignment="1">
      <alignment vertical="center"/>
    </xf>
    <xf numFmtId="3" fontId="14" fillId="4" borderId="0" xfId="3" applyNumberFormat="1" applyFont="1" applyFill="1" applyAlignment="1">
      <alignment horizontal="center" vertical="center" wrapText="1"/>
    </xf>
    <xf numFmtId="3" fontId="27" fillId="0" borderId="0" xfId="3" applyNumberFormat="1" applyFont="1" applyAlignment="1">
      <alignment vertical="center"/>
    </xf>
    <xf numFmtId="0" fontId="36" fillId="0" borderId="0" xfId="3" applyFont="1" applyAlignment="1">
      <alignment vertical="center"/>
    </xf>
    <xf numFmtId="3" fontId="27" fillId="4" borderId="2" xfId="3" applyNumberFormat="1" applyFont="1" applyFill="1" applyBorder="1" applyAlignment="1">
      <alignment horizontal="center" vertical="center" wrapText="1"/>
    </xf>
    <xf numFmtId="3" fontId="27" fillId="5" borderId="2" xfId="3" applyNumberFormat="1" applyFont="1" applyFill="1" applyBorder="1" applyAlignment="1">
      <alignment horizontal="center" vertical="center" wrapText="1"/>
    </xf>
    <xf numFmtId="3" fontId="27" fillId="4" borderId="2" xfId="3" applyNumberFormat="1" applyFont="1" applyFill="1" applyBorder="1" applyAlignment="1">
      <alignment horizontal="center" vertical="center"/>
    </xf>
    <xf numFmtId="3" fontId="37" fillId="0" borderId="0" xfId="3" applyNumberFormat="1" applyFont="1" applyAlignment="1">
      <alignment vertical="center"/>
    </xf>
    <xf numFmtId="0" fontId="18" fillId="6" borderId="9" xfId="3" applyFont="1" applyFill="1" applyBorder="1" applyAlignment="1">
      <alignment horizontal="center" vertical="center" wrapText="1"/>
    </xf>
    <xf numFmtId="0" fontId="21" fillId="6" borderId="9" xfId="3" applyFont="1" applyFill="1" applyBorder="1" applyAlignment="1">
      <alignment horizontal="center" vertical="center" wrapText="1"/>
    </xf>
    <xf numFmtId="49" fontId="27" fillId="6" borderId="9" xfId="3" applyNumberFormat="1" applyFont="1" applyFill="1" applyBorder="1" applyAlignment="1">
      <alignment vertical="center"/>
    </xf>
    <xf numFmtId="165" fontId="27" fillId="6" borderId="9" xfId="4" applyNumberFormat="1" applyFont="1" applyFill="1" applyBorder="1" applyAlignment="1">
      <alignment horizontal="center" vertical="center" wrapText="1"/>
    </xf>
    <xf numFmtId="4" fontId="28" fillId="0" borderId="0" xfId="3" applyNumberFormat="1" applyFont="1" applyAlignment="1">
      <alignment vertical="center"/>
    </xf>
    <xf numFmtId="49" fontId="27" fillId="6" borderId="2" xfId="3" applyNumberFormat="1" applyFont="1" applyFill="1" applyBorder="1" applyAlignment="1">
      <alignment horizontal="left" vertical="center"/>
    </xf>
    <xf numFmtId="0" fontId="21" fillId="3" borderId="9" xfId="3" applyFont="1" applyFill="1" applyBorder="1" applyAlignment="1">
      <alignment horizontal="center" vertical="center" wrapText="1"/>
    </xf>
    <xf numFmtId="0" fontId="27" fillId="3" borderId="9" xfId="3" applyFont="1" applyFill="1" applyBorder="1" applyAlignment="1">
      <alignment horizontal="left" vertical="center" wrapText="1"/>
    </xf>
    <xf numFmtId="0" fontId="21" fillId="3" borderId="9" xfId="4" applyNumberFormat="1" applyFont="1" applyFill="1" applyBorder="1" applyAlignment="1">
      <alignment horizontal="center" vertical="center" wrapText="1"/>
    </xf>
    <xf numFmtId="49" fontId="27" fillId="6" borderId="9" xfId="3" applyNumberFormat="1" applyFont="1" applyFill="1" applyBorder="1" applyAlignment="1">
      <alignment horizontal="center" vertical="center"/>
    </xf>
    <xf numFmtId="0" fontId="27" fillId="10" borderId="9" xfId="3" applyFont="1" applyFill="1" applyBorder="1" applyAlignment="1">
      <alignment vertical="center"/>
    </xf>
    <xf numFmtId="165" fontId="27" fillId="6" borderId="9" xfId="3" applyNumberFormat="1" applyFont="1" applyFill="1" applyBorder="1" applyAlignment="1">
      <alignment horizontal="right" vertical="center" wrapText="1"/>
    </xf>
    <xf numFmtId="0" fontId="27" fillId="0" borderId="2" xfId="3" applyFont="1" applyBorder="1" applyAlignment="1">
      <alignment vertical="center"/>
    </xf>
    <xf numFmtId="49" fontId="27" fillId="7" borderId="2" xfId="3" applyNumberFormat="1" applyFont="1" applyFill="1" applyBorder="1" applyAlignment="1">
      <alignment horizontal="right" vertical="center"/>
    </xf>
    <xf numFmtId="0" fontId="27" fillId="9" borderId="2" xfId="3" applyFont="1" applyFill="1" applyBorder="1" applyAlignment="1">
      <alignment vertical="center"/>
    </xf>
    <xf numFmtId="49" fontId="27" fillId="7" borderId="2" xfId="3" applyNumberFormat="1" applyFont="1" applyFill="1" applyBorder="1" applyAlignment="1">
      <alignment vertical="center"/>
    </xf>
    <xf numFmtId="165" fontId="27" fillId="7" borderId="2" xfId="3" applyNumberFormat="1" applyFont="1" applyFill="1" applyBorder="1" applyAlignment="1">
      <alignment horizontal="right" vertical="center"/>
    </xf>
    <xf numFmtId="49" fontId="27" fillId="0" borderId="2" xfId="3" applyNumberFormat="1" applyFont="1" applyBorder="1" applyAlignment="1">
      <alignment horizontal="right" vertical="center"/>
    </xf>
    <xf numFmtId="49" fontId="28" fillId="0" borderId="2" xfId="3" applyNumberFormat="1" applyFont="1" applyBorder="1" applyAlignment="1">
      <alignment horizontal="right" vertical="center"/>
    </xf>
    <xf numFmtId="165" fontId="28" fillId="0" borderId="2" xfId="3" applyNumberFormat="1" applyFont="1" applyBorder="1" applyAlignment="1">
      <alignment horizontal="right" vertical="center"/>
    </xf>
    <xf numFmtId="3" fontId="15" fillId="0" borderId="0" xfId="3" applyNumberFormat="1" applyFont="1" applyAlignment="1">
      <alignment vertical="center"/>
    </xf>
    <xf numFmtId="0" fontId="38" fillId="0" borderId="0" xfId="3" applyFont="1" applyAlignment="1">
      <alignment vertical="center"/>
    </xf>
    <xf numFmtId="49" fontId="27" fillId="4" borderId="2" xfId="3" applyNumberFormat="1" applyFont="1" applyFill="1" applyBorder="1" applyAlignment="1">
      <alignment horizontal="right" vertical="center"/>
    </xf>
    <xf numFmtId="165" fontId="27" fillId="4" borderId="2" xfId="3" applyNumberFormat="1" applyFont="1" applyFill="1" applyBorder="1" applyAlignment="1">
      <alignment vertical="center"/>
    </xf>
    <xf numFmtId="49" fontId="28" fillId="4" borderId="2" xfId="3" applyNumberFormat="1" applyFont="1" applyFill="1" applyBorder="1" applyAlignment="1">
      <alignment horizontal="right" vertical="center"/>
    </xf>
    <xf numFmtId="49" fontId="27" fillId="0" borderId="2" xfId="3" applyNumberFormat="1" applyFont="1" applyBorder="1" applyAlignment="1">
      <alignment vertical="center"/>
    </xf>
    <xf numFmtId="49" fontId="28" fillId="0" borderId="2" xfId="3" applyNumberFormat="1" applyFont="1" applyBorder="1" applyAlignment="1">
      <alignment vertical="center"/>
    </xf>
    <xf numFmtId="0" fontId="27" fillId="0" borderId="2" xfId="3" applyFont="1" applyBorder="1" applyAlignment="1">
      <alignment vertical="center" wrapText="1"/>
    </xf>
    <xf numFmtId="0" fontId="28" fillId="0" borderId="2" xfId="3" applyFont="1" applyBorder="1" applyAlignment="1">
      <alignment vertical="center" wrapText="1"/>
    </xf>
    <xf numFmtId="0" fontId="27" fillId="4" borderId="2" xfId="3" applyFont="1" applyFill="1" applyBorder="1" applyAlignment="1">
      <alignment horizontal="right" vertical="center"/>
    </xf>
    <xf numFmtId="0" fontId="36" fillId="0" borderId="2" xfId="3" applyFont="1" applyBorder="1" applyAlignment="1">
      <alignment vertical="center"/>
    </xf>
    <xf numFmtId="49" fontId="27" fillId="4" borderId="2" xfId="3" applyNumberFormat="1" applyFont="1" applyFill="1" applyBorder="1" applyAlignment="1">
      <alignment horizontal="left" vertical="center"/>
    </xf>
    <xf numFmtId="0" fontId="28" fillId="4" borderId="2" xfId="3" applyFont="1" applyFill="1" applyBorder="1" applyAlignment="1">
      <alignment horizontal="right" vertical="center"/>
    </xf>
    <xf numFmtId="0" fontId="35" fillId="0" borderId="2" xfId="3" applyFont="1" applyBorder="1" applyAlignment="1">
      <alignment vertical="center"/>
    </xf>
    <xf numFmtId="49" fontId="28" fillId="4" borderId="2" xfId="3" applyNumberFormat="1" applyFont="1" applyFill="1" applyBorder="1" applyAlignment="1">
      <alignment horizontal="left" vertical="center"/>
    </xf>
    <xf numFmtId="0" fontId="27" fillId="10" borderId="2" xfId="3" applyFont="1" applyFill="1" applyBorder="1" applyAlignment="1">
      <alignment vertical="center"/>
    </xf>
    <xf numFmtId="0" fontId="27" fillId="6" borderId="2" xfId="3" applyFont="1" applyFill="1" applyBorder="1" applyAlignment="1">
      <alignment horizontal="right" vertical="center"/>
    </xf>
    <xf numFmtId="0" fontId="36" fillId="10" borderId="2" xfId="3" applyFont="1" applyFill="1" applyBorder="1" applyAlignment="1">
      <alignment vertical="center"/>
    </xf>
    <xf numFmtId="165" fontId="27" fillId="10" borderId="2" xfId="3" applyNumberFormat="1" applyFont="1" applyFill="1" applyBorder="1" applyAlignment="1">
      <alignment horizontal="right" vertical="center"/>
    </xf>
    <xf numFmtId="165" fontId="27" fillId="9" borderId="2" xfId="3" applyNumberFormat="1" applyFont="1" applyFill="1" applyBorder="1" applyAlignment="1">
      <alignment horizontal="right" vertical="center"/>
    </xf>
    <xf numFmtId="49" fontId="28" fillId="4" borderId="2" xfId="3" applyNumberFormat="1" applyFont="1" applyFill="1" applyBorder="1" applyAlignment="1">
      <alignment horizontal="center" vertical="center"/>
    </xf>
    <xf numFmtId="49" fontId="27" fillId="7" borderId="2" xfId="3" applyNumberFormat="1" applyFont="1" applyFill="1" applyBorder="1" applyAlignment="1">
      <alignment vertical="center" wrapText="1"/>
    </xf>
    <xf numFmtId="0" fontId="18" fillId="6" borderId="9" xfId="3" applyFont="1" applyFill="1" applyBorder="1" applyAlignment="1">
      <alignment horizontal="left" vertical="center" wrapText="1"/>
    </xf>
    <xf numFmtId="3" fontId="18" fillId="0" borderId="0" xfId="3" applyNumberFormat="1" applyFont="1" applyAlignment="1">
      <alignment vertical="center"/>
    </xf>
    <xf numFmtId="0" fontId="39" fillId="0" borderId="0" xfId="3" applyFont="1" applyAlignment="1">
      <alignment vertical="center"/>
    </xf>
    <xf numFmtId="3" fontId="24" fillId="0" borderId="0" xfId="3" applyNumberFormat="1" applyFont="1" applyAlignment="1">
      <alignment vertical="center"/>
    </xf>
    <xf numFmtId="0" fontId="24" fillId="0" borderId="0" xfId="3" applyFont="1" applyAlignment="1">
      <alignment vertical="center"/>
    </xf>
    <xf numFmtId="3" fontId="28" fillId="0" borderId="0" xfId="3" applyNumberFormat="1" applyFont="1" applyAlignment="1">
      <alignment horizontal="right" vertical="center"/>
    </xf>
    <xf numFmtId="49" fontId="27" fillId="4" borderId="2" xfId="3" applyNumberFormat="1" applyFont="1" applyFill="1" applyBorder="1" applyAlignment="1">
      <alignment horizontal="left" vertical="center" wrapText="1"/>
    </xf>
    <xf numFmtId="49" fontId="28" fillId="4" borderId="2" xfId="3" applyNumberFormat="1" applyFont="1" applyFill="1" applyBorder="1" applyAlignment="1">
      <alignment horizontal="left" vertical="center" wrapText="1"/>
    </xf>
    <xf numFmtId="0" fontId="27" fillId="0" borderId="2" xfId="3" applyFont="1" applyBorder="1" applyAlignment="1">
      <alignment horizontal="right" vertical="center"/>
    </xf>
    <xf numFmtId="49" fontId="27" fillId="0" borderId="2" xfId="3" applyNumberFormat="1" applyFont="1" applyBorder="1" applyAlignment="1">
      <alignment horizontal="left" vertical="center"/>
    </xf>
    <xf numFmtId="0" fontId="28" fillId="0" borderId="2" xfId="3" applyFont="1" applyBorder="1" applyAlignment="1">
      <alignment horizontal="right" vertical="center"/>
    </xf>
    <xf numFmtId="49" fontId="28" fillId="0" borderId="2" xfId="3" applyNumberFormat="1" applyFont="1" applyBorder="1" applyAlignment="1">
      <alignment horizontal="left" vertical="center"/>
    </xf>
    <xf numFmtId="0" fontId="27" fillId="9" borderId="2" xfId="3" applyFont="1" applyFill="1" applyBorder="1" applyAlignment="1">
      <alignment horizontal="right" vertical="center"/>
    </xf>
    <xf numFmtId="0" fontId="36" fillId="9" borderId="2" xfId="3" applyFont="1" applyFill="1" applyBorder="1" applyAlignment="1">
      <alignment vertical="center"/>
    </xf>
    <xf numFmtId="49" fontId="27" fillId="9" borderId="2" xfId="3" applyNumberFormat="1" applyFont="1" applyFill="1" applyBorder="1" applyAlignment="1">
      <alignment horizontal="left" vertical="center"/>
    </xf>
    <xf numFmtId="0" fontId="40" fillId="9" borderId="2" xfId="3" applyFont="1" applyFill="1" applyBorder="1"/>
    <xf numFmtId="0" fontId="40" fillId="0" borderId="2" xfId="3" applyFont="1" applyBorder="1"/>
    <xf numFmtId="0" fontId="27" fillId="0" borderId="2" xfId="3" applyFont="1" applyBorder="1"/>
    <xf numFmtId="49" fontId="27" fillId="6" borderId="2" xfId="3" applyNumberFormat="1" applyFont="1" applyFill="1" applyBorder="1" applyAlignment="1">
      <alignment horizontal="center" vertical="center"/>
    </xf>
    <xf numFmtId="49" fontId="27" fillId="6" borderId="2" xfId="3" applyNumberFormat="1" applyFont="1" applyFill="1" applyBorder="1" applyAlignment="1">
      <alignment horizontal="right" vertical="center"/>
    </xf>
    <xf numFmtId="49" fontId="27" fillId="6" borderId="2" xfId="3" applyNumberFormat="1" applyFont="1" applyFill="1" applyBorder="1" applyAlignment="1">
      <alignment vertical="center"/>
    </xf>
    <xf numFmtId="49" fontId="27" fillId="4" borderId="2" xfId="3" applyNumberFormat="1" applyFont="1" applyFill="1" applyBorder="1" applyAlignment="1">
      <alignment horizontal="center" vertical="center"/>
    </xf>
    <xf numFmtId="49" fontId="27" fillId="0" borderId="2" xfId="3" applyNumberFormat="1" applyFont="1" applyBorder="1" applyAlignment="1">
      <alignment vertical="center" wrapText="1"/>
    </xf>
    <xf numFmtId="49" fontId="28" fillId="0" borderId="2" xfId="3" applyNumberFormat="1" applyFont="1" applyBorder="1" applyAlignment="1">
      <alignment vertical="center" wrapText="1"/>
    </xf>
    <xf numFmtId="0" fontId="24" fillId="0" borderId="2" xfId="3" applyFont="1" applyBorder="1" applyAlignment="1">
      <alignment vertical="center"/>
    </xf>
    <xf numFmtId="0" fontId="24" fillId="4" borderId="2" xfId="3" applyFont="1" applyFill="1" applyBorder="1" applyAlignment="1">
      <alignment horizontal="center" vertical="center"/>
    </xf>
    <xf numFmtId="0" fontId="24" fillId="8" borderId="2" xfId="3" applyFont="1" applyFill="1" applyBorder="1" applyAlignment="1">
      <alignment horizontal="center" vertical="center"/>
    </xf>
    <xf numFmtId="49" fontId="24" fillId="8" borderId="2" xfId="3" applyNumberFormat="1" applyFont="1" applyFill="1" applyBorder="1" applyAlignment="1">
      <alignment horizontal="left" vertical="center" wrapText="1"/>
    </xf>
    <xf numFmtId="165" fontId="24" fillId="5" borderId="2" xfId="3" applyNumberFormat="1" applyFont="1" applyFill="1" applyBorder="1" applyAlignment="1">
      <alignment horizontal="right" vertical="center" wrapText="1"/>
    </xf>
    <xf numFmtId="165" fontId="28" fillId="4" borderId="2" xfId="3" applyNumberFormat="1" applyFont="1" applyFill="1" applyBorder="1" applyAlignment="1">
      <alignment vertical="center"/>
    </xf>
    <xf numFmtId="3" fontId="24" fillId="2" borderId="0" xfId="3" applyNumberFormat="1" applyFont="1" applyFill="1" applyAlignment="1">
      <alignment vertical="center"/>
    </xf>
    <xf numFmtId="0" fontId="24" fillId="2" borderId="0" xfId="3" applyFont="1" applyFill="1" applyAlignment="1">
      <alignment vertical="center"/>
    </xf>
    <xf numFmtId="3" fontId="41" fillId="2" borderId="0" xfId="3" applyNumberFormat="1" applyFont="1" applyFill="1" applyAlignment="1">
      <alignment vertical="center"/>
    </xf>
    <xf numFmtId="0" fontId="41" fillId="2" borderId="0" xfId="3" applyFont="1" applyFill="1" applyAlignment="1">
      <alignment vertical="center"/>
    </xf>
    <xf numFmtId="3" fontId="27" fillId="2" borderId="0" xfId="3" applyNumberFormat="1" applyFont="1" applyFill="1" applyAlignment="1">
      <alignment vertical="center"/>
    </xf>
    <xf numFmtId="0" fontId="36" fillId="2" borderId="0" xfId="3" applyFont="1" applyFill="1" applyAlignment="1">
      <alignment vertical="center"/>
    </xf>
    <xf numFmtId="3" fontId="28" fillId="2" borderId="0" xfId="3" applyNumberFormat="1" applyFont="1" applyFill="1" applyAlignment="1">
      <alignment vertical="center"/>
    </xf>
    <xf numFmtId="0" fontId="27" fillId="9" borderId="2" xfId="3" applyFont="1" applyFill="1" applyBorder="1"/>
    <xf numFmtId="165" fontId="42" fillId="9" borderId="2" xfId="3" applyNumberFormat="1" applyFont="1" applyFill="1" applyBorder="1" applyAlignment="1">
      <alignment horizontal="right" vertical="center"/>
    </xf>
    <xf numFmtId="3" fontId="42" fillId="2" borderId="0" xfId="3" applyNumberFormat="1" applyFont="1" applyFill="1" applyAlignment="1">
      <alignment vertical="center"/>
    </xf>
    <xf numFmtId="0" fontId="42" fillId="2" borderId="0" xfId="3" applyFont="1" applyFill="1" applyAlignment="1">
      <alignment vertical="center"/>
    </xf>
    <xf numFmtId="165" fontId="42" fillId="0" borderId="2" xfId="3" applyNumberFormat="1" applyFont="1" applyBorder="1" applyAlignment="1">
      <alignment horizontal="right" vertical="center"/>
    </xf>
    <xf numFmtId="0" fontId="43" fillId="0" borderId="2" xfId="3" applyFont="1" applyBorder="1" applyAlignment="1">
      <alignment vertical="center"/>
    </xf>
    <xf numFmtId="0" fontId="43" fillId="0" borderId="2" xfId="3" applyFont="1" applyBorder="1" applyAlignment="1">
      <alignment horizontal="right" vertical="center"/>
    </xf>
    <xf numFmtId="0" fontId="43" fillId="0" borderId="2" xfId="3" applyFont="1" applyBorder="1"/>
    <xf numFmtId="165" fontId="43" fillId="0" borderId="2" xfId="3" applyNumberFormat="1" applyFont="1" applyBorder="1" applyAlignment="1">
      <alignment horizontal="right" vertical="center"/>
    </xf>
    <xf numFmtId="3" fontId="44" fillId="0" borderId="0" xfId="3" applyNumberFormat="1" applyFont="1" applyAlignment="1">
      <alignment vertical="center"/>
    </xf>
    <xf numFmtId="3" fontId="34" fillId="0" borderId="0" xfId="3" applyNumberFormat="1" applyFont="1" applyAlignment="1">
      <alignment vertical="center"/>
    </xf>
    <xf numFmtId="49" fontId="24" fillId="5" borderId="2" xfId="3" applyNumberFormat="1" applyFont="1" applyFill="1" applyBorder="1" applyAlignment="1">
      <alignment horizontal="right" vertical="center"/>
    </xf>
    <xf numFmtId="49" fontId="24" fillId="5" borderId="2" xfId="3" applyNumberFormat="1" applyFont="1" applyFill="1" applyBorder="1" applyAlignment="1">
      <alignment vertical="center"/>
    </xf>
    <xf numFmtId="165" fontId="24" fillId="8" borderId="2" xfId="3" applyNumberFormat="1" applyFont="1" applyFill="1" applyBorder="1" applyAlignment="1">
      <alignment horizontal="right" vertical="center" wrapText="1"/>
    </xf>
    <xf numFmtId="165" fontId="45" fillId="6" borderId="2" xfId="3" applyNumberFormat="1" applyFont="1" applyFill="1" applyBorder="1" applyAlignment="1">
      <alignment horizontal="right" vertical="center" wrapText="1"/>
    </xf>
    <xf numFmtId="165" fontId="27" fillId="0" borderId="2" xfId="3" applyNumberFormat="1" applyFont="1" applyBorder="1" applyAlignment="1">
      <alignment vertical="center"/>
    </xf>
    <xf numFmtId="165" fontId="27" fillId="7" borderId="2" xfId="3" applyNumberFormat="1" applyFont="1" applyFill="1" applyBorder="1" applyAlignment="1">
      <alignment vertical="center"/>
    </xf>
    <xf numFmtId="165" fontId="28" fillId="0" borderId="2" xfId="3" applyNumberFormat="1" applyFont="1" applyBorder="1" applyAlignment="1">
      <alignment vertical="center"/>
    </xf>
    <xf numFmtId="165" fontId="27" fillId="6" borderId="2" xfId="3" applyNumberFormat="1" applyFont="1" applyFill="1" applyBorder="1" applyAlignment="1">
      <alignment vertical="center"/>
    </xf>
    <xf numFmtId="165" fontId="27" fillId="6" borderId="2" xfId="3" applyNumberFormat="1" applyFont="1" applyFill="1" applyBorder="1" applyAlignment="1">
      <alignment horizontal="right" vertical="center"/>
    </xf>
    <xf numFmtId="49" fontId="27" fillId="0" borderId="9" xfId="3" applyNumberFormat="1" applyFont="1" applyBorder="1" applyAlignment="1">
      <alignment horizontal="right" vertical="center"/>
    </xf>
    <xf numFmtId="0" fontId="27" fillId="0" borderId="9" xfId="3" applyFont="1" applyBorder="1" applyAlignment="1">
      <alignment vertical="center"/>
    </xf>
    <xf numFmtId="49" fontId="27" fillId="0" borderId="9" xfId="3" applyNumberFormat="1" applyFont="1" applyBorder="1" applyAlignment="1">
      <alignment vertical="center"/>
    </xf>
    <xf numFmtId="49" fontId="28" fillId="0" borderId="9" xfId="3" applyNumberFormat="1" applyFont="1" applyBorder="1" applyAlignment="1">
      <alignment horizontal="right" vertical="center"/>
    </xf>
    <xf numFmtId="0" fontId="28" fillId="0" borderId="9" xfId="3" applyFont="1" applyBorder="1" applyAlignment="1">
      <alignment vertical="center"/>
    </xf>
    <xf numFmtId="49" fontId="28" fillId="0" borderId="9" xfId="3" applyNumberFormat="1" applyFont="1" applyBorder="1" applyAlignment="1">
      <alignment vertical="center"/>
    </xf>
    <xf numFmtId="49" fontId="27" fillId="3" borderId="2" xfId="3" applyNumberFormat="1" applyFont="1" applyFill="1" applyBorder="1" applyAlignment="1">
      <alignment horizontal="right" vertical="center"/>
    </xf>
    <xf numFmtId="49" fontId="18" fillId="0" borderId="2" xfId="3" applyNumberFormat="1" applyFont="1" applyBorder="1" applyAlignment="1">
      <alignment horizontal="right" vertical="center"/>
    </xf>
    <xf numFmtId="49" fontId="28" fillId="3" borderId="2" xfId="3" applyNumberFormat="1" applyFont="1" applyFill="1" applyBorder="1" applyAlignment="1">
      <alignment horizontal="right" vertical="center"/>
    </xf>
    <xf numFmtId="0" fontId="40" fillId="10" borderId="2" xfId="3" applyFont="1" applyFill="1" applyBorder="1" applyAlignment="1">
      <alignment horizontal="center" vertical="center"/>
    </xf>
    <xf numFmtId="49" fontId="28" fillId="10" borderId="2" xfId="3" applyNumberFormat="1" applyFont="1" applyFill="1" applyBorder="1" applyAlignment="1">
      <alignment horizontal="right" vertical="center"/>
    </xf>
    <xf numFmtId="0" fontId="28" fillId="10" borderId="2" xfId="3" applyFont="1" applyFill="1" applyBorder="1" applyAlignment="1">
      <alignment vertical="center"/>
    </xf>
    <xf numFmtId="0" fontId="40" fillId="0" borderId="2" xfId="3" applyFont="1" applyBorder="1" applyAlignment="1">
      <alignment horizontal="center" vertical="center"/>
    </xf>
    <xf numFmtId="0" fontId="40" fillId="2" borderId="2" xfId="3" applyFont="1" applyFill="1" applyBorder="1" applyAlignment="1">
      <alignment horizontal="center" vertical="center"/>
    </xf>
    <xf numFmtId="165" fontId="27" fillId="4" borderId="2" xfId="3" applyNumberFormat="1" applyFont="1" applyFill="1" applyBorder="1" applyAlignment="1">
      <alignment horizontal="right" vertical="center"/>
    </xf>
    <xf numFmtId="0" fontId="46" fillId="2" borderId="2" xfId="3" applyFont="1" applyFill="1" applyBorder="1" applyAlignment="1">
      <alignment horizontal="center" vertical="center"/>
    </xf>
    <xf numFmtId="165" fontId="28" fillId="4" borderId="2" xfId="3" applyNumberFormat="1" applyFont="1" applyFill="1" applyBorder="1" applyAlignment="1">
      <alignment horizontal="right" vertical="center"/>
    </xf>
    <xf numFmtId="0" fontId="45" fillId="2" borderId="2" xfId="3" applyFont="1" applyFill="1" applyBorder="1" applyAlignment="1">
      <alignment horizontal="center" vertical="center"/>
    </xf>
    <xf numFmtId="49" fontId="24" fillId="3" borderId="2" xfId="3" applyNumberFormat="1" applyFont="1" applyFill="1" applyBorder="1" applyAlignment="1">
      <alignment horizontal="right" vertical="center"/>
    </xf>
    <xf numFmtId="165" fontId="24" fillId="8" borderId="2" xfId="3" applyNumberFormat="1" applyFont="1" applyFill="1" applyBorder="1" applyAlignment="1">
      <alignment horizontal="right" vertical="center"/>
    </xf>
    <xf numFmtId="165" fontId="40" fillId="10" borderId="2" xfId="3" applyNumberFormat="1" applyFont="1" applyFill="1" applyBorder="1" applyAlignment="1">
      <alignment horizontal="right" vertical="center"/>
    </xf>
    <xf numFmtId="165" fontId="40" fillId="9" borderId="2" xfId="3" applyNumberFormat="1" applyFont="1" applyFill="1" applyBorder="1" applyAlignment="1">
      <alignment horizontal="right" vertical="center"/>
    </xf>
    <xf numFmtId="49" fontId="27" fillId="0" borderId="9" xfId="3" applyNumberFormat="1" applyFont="1" applyBorder="1" applyAlignment="1">
      <alignment horizontal="center" vertical="center"/>
    </xf>
    <xf numFmtId="165" fontId="40" fillId="0" borderId="2" xfId="3" applyNumberFormat="1" applyFont="1" applyBorder="1" applyAlignment="1">
      <alignment horizontal="right" vertical="center"/>
    </xf>
    <xf numFmtId="49" fontId="28" fillId="0" borderId="9" xfId="3" applyNumberFormat="1" applyFont="1" applyBorder="1" applyAlignment="1">
      <alignment horizontal="center" vertical="center"/>
    </xf>
    <xf numFmtId="165" fontId="46" fillId="0" borderId="2" xfId="3" applyNumberFormat="1" applyFont="1" applyBorder="1" applyAlignment="1">
      <alignment horizontal="right" vertical="center"/>
    </xf>
    <xf numFmtId="0" fontId="42" fillId="10" borderId="2" xfId="3" applyFont="1" applyFill="1" applyBorder="1" applyAlignment="1">
      <alignment horizontal="center" vertical="center"/>
    </xf>
    <xf numFmtId="49" fontId="42" fillId="6" borderId="2" xfId="3" applyNumberFormat="1" applyFont="1" applyFill="1" applyBorder="1" applyAlignment="1">
      <alignment horizontal="right" vertical="center"/>
    </xf>
    <xf numFmtId="49" fontId="42" fillId="6" borderId="2" xfId="3" applyNumberFormat="1" applyFont="1" applyFill="1" applyBorder="1" applyAlignment="1">
      <alignment vertical="center"/>
    </xf>
    <xf numFmtId="165" fontId="47" fillId="6" borderId="2" xfId="3" applyNumberFormat="1" applyFont="1" applyFill="1" applyBorder="1" applyAlignment="1">
      <alignment horizontal="right" vertical="center"/>
    </xf>
    <xf numFmtId="3" fontId="43" fillId="0" borderId="0" xfId="3" applyNumberFormat="1" applyFont="1" applyAlignment="1">
      <alignment vertical="center"/>
    </xf>
    <xf numFmtId="0" fontId="27" fillId="2" borderId="2" xfId="3" applyFont="1" applyFill="1" applyBorder="1" applyAlignment="1">
      <alignment vertical="center"/>
    </xf>
    <xf numFmtId="0" fontId="28" fillId="2" borderId="2" xfId="3" applyFont="1" applyFill="1" applyBorder="1" applyAlignment="1">
      <alignment vertical="center"/>
    </xf>
    <xf numFmtId="0" fontId="27" fillId="2" borderId="4" xfId="3" applyFont="1" applyFill="1" applyBorder="1" applyAlignment="1">
      <alignment vertical="center"/>
    </xf>
    <xf numFmtId="49" fontId="27" fillId="0" borderId="4" xfId="3" applyNumberFormat="1" applyFont="1" applyBorder="1" applyAlignment="1">
      <alignment horizontal="right" vertical="center"/>
    </xf>
    <xf numFmtId="0" fontId="27" fillId="0" borderId="4" xfId="3" applyFont="1" applyBorder="1" applyAlignment="1">
      <alignment vertical="center"/>
    </xf>
    <xf numFmtId="165" fontId="27" fillId="4" borderId="4" xfId="3" applyNumberFormat="1" applyFont="1" applyFill="1" applyBorder="1" applyAlignment="1">
      <alignment horizontal="right" vertical="center"/>
    </xf>
    <xf numFmtId="0" fontId="28" fillId="2" borderId="4" xfId="3" applyFont="1" applyFill="1" applyBorder="1" applyAlignment="1">
      <alignment vertical="center"/>
    </xf>
    <xf numFmtId="49" fontId="28" fillId="0" borderId="4" xfId="3" applyNumberFormat="1" applyFont="1" applyBorder="1" applyAlignment="1">
      <alignment horizontal="right" vertical="center"/>
    </xf>
    <xf numFmtId="0" fontId="28" fillId="0" borderId="4" xfId="3" applyFont="1" applyBorder="1" applyAlignment="1">
      <alignment vertical="center"/>
    </xf>
    <xf numFmtId="165" fontId="28" fillId="4" borderId="4" xfId="3" applyNumberFormat="1" applyFont="1" applyFill="1" applyBorder="1" applyAlignment="1">
      <alignment horizontal="right" vertical="center"/>
    </xf>
    <xf numFmtId="165" fontId="28" fillId="7" borderId="4" xfId="3" applyNumberFormat="1" applyFont="1" applyFill="1" applyBorder="1" applyAlignment="1">
      <alignment horizontal="right" vertical="center"/>
    </xf>
    <xf numFmtId="0" fontId="24" fillId="2" borderId="4" xfId="3" applyFont="1" applyFill="1" applyBorder="1" applyAlignment="1">
      <alignment vertical="center"/>
    </xf>
    <xf numFmtId="49" fontId="24" fillId="3" borderId="4" xfId="3" applyNumberFormat="1" applyFont="1" applyFill="1" applyBorder="1" applyAlignment="1">
      <alignment horizontal="right" vertical="center"/>
    </xf>
    <xf numFmtId="49" fontId="24" fillId="5" borderId="4" xfId="3" applyNumberFormat="1" applyFont="1" applyFill="1" applyBorder="1" applyAlignment="1">
      <alignment horizontal="right" vertical="center"/>
    </xf>
    <xf numFmtId="49" fontId="24" fillId="5" borderId="4" xfId="3" applyNumberFormat="1" applyFont="1" applyFill="1" applyBorder="1" applyAlignment="1">
      <alignment vertical="center" wrapText="1"/>
    </xf>
    <xf numFmtId="165" fontId="24" fillId="8" borderId="4" xfId="3" applyNumberFormat="1" applyFont="1" applyFill="1" applyBorder="1" applyAlignment="1">
      <alignment horizontal="right" vertical="center"/>
    </xf>
    <xf numFmtId="3" fontId="14" fillId="4" borderId="7" xfId="3" applyNumberFormat="1" applyFont="1" applyFill="1" applyBorder="1" applyAlignment="1">
      <alignment horizontal="right" vertical="center"/>
    </xf>
    <xf numFmtId="165" fontId="14" fillId="4" borderId="8" xfId="3" applyNumberFormat="1" applyFont="1" applyFill="1" applyBorder="1" applyAlignment="1">
      <alignment vertical="center"/>
    </xf>
    <xf numFmtId="4" fontId="28" fillId="0" borderId="0" xfId="3" applyNumberFormat="1" applyFont="1" applyAlignment="1">
      <alignment horizontal="right" vertical="center"/>
    </xf>
    <xf numFmtId="165" fontId="28" fillId="0" borderId="0" xfId="3" applyNumberFormat="1" applyFont="1" applyAlignment="1">
      <alignment horizontal="center" vertical="center"/>
    </xf>
    <xf numFmtId="3" fontId="28" fillId="0" borderId="0" xfId="3" applyNumberFormat="1" applyFont="1" applyAlignment="1">
      <alignment horizontal="center" vertical="center"/>
    </xf>
    <xf numFmtId="4" fontId="18" fillId="0" borderId="0" xfId="3" applyNumberFormat="1" applyFont="1" applyAlignment="1">
      <alignment horizontal="right" vertical="center"/>
    </xf>
    <xf numFmtId="3" fontId="40" fillId="0" borderId="0" xfId="3" applyNumberFormat="1" applyFont="1" applyAlignment="1">
      <alignment vertical="center"/>
    </xf>
    <xf numFmtId="165" fontId="27" fillId="0" borderId="0" xfId="3" applyNumberFormat="1" applyFont="1" applyAlignment="1">
      <alignment vertical="center"/>
    </xf>
    <xf numFmtId="4" fontId="34" fillId="0" borderId="0" xfId="3" applyNumberFormat="1" applyFont="1" applyAlignment="1">
      <alignment vertical="center"/>
    </xf>
    <xf numFmtId="3" fontId="10" fillId="4" borderId="2" xfId="3" applyNumberFormat="1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 wrapText="1"/>
    </xf>
    <xf numFmtId="3" fontId="33" fillId="4" borderId="2" xfId="3" applyNumberFormat="1" applyFont="1" applyFill="1" applyBorder="1" applyAlignment="1">
      <alignment horizontal="center" vertical="center" wrapText="1"/>
    </xf>
    <xf numFmtId="0" fontId="33" fillId="4" borderId="2" xfId="3" applyFont="1" applyFill="1" applyBorder="1" applyAlignment="1">
      <alignment horizontal="center" vertical="center" wrapText="1"/>
    </xf>
    <xf numFmtId="165" fontId="11" fillId="4" borderId="30" xfId="3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horizontal="center"/>
    </xf>
    <xf numFmtId="0" fontId="30" fillId="0" borderId="0" xfId="0" applyFont="1"/>
    <xf numFmtId="0" fontId="50" fillId="0" borderId="0" xfId="0" applyFont="1"/>
    <xf numFmtId="0" fontId="51" fillId="0" borderId="0" xfId="0" applyFont="1" applyAlignment="1">
      <alignment vertical="center"/>
    </xf>
    <xf numFmtId="0" fontId="51" fillId="0" borderId="0" xfId="0" applyFont="1" applyAlignment="1">
      <alignment horizontal="center" vertical="center" wrapText="1"/>
    </xf>
    <xf numFmtId="0" fontId="50" fillId="0" borderId="0" xfId="0" applyFont="1" applyAlignment="1">
      <alignment wrapText="1"/>
    </xf>
    <xf numFmtId="0" fontId="10" fillId="0" borderId="0" xfId="0" quotePrefix="1" applyFont="1" applyAlignment="1">
      <alignment horizontal="left" wrapText="1"/>
    </xf>
    <xf numFmtId="0" fontId="33" fillId="0" borderId="0" xfId="0" applyFont="1" applyAlignment="1">
      <alignment wrapText="1"/>
    </xf>
    <xf numFmtId="3" fontId="51" fillId="0" borderId="0" xfId="0" applyNumberFormat="1" applyFont="1" applyAlignment="1">
      <alignment horizontal="right"/>
    </xf>
    <xf numFmtId="0" fontId="51" fillId="0" borderId="0" xfId="0" applyFont="1" applyAlignment="1">
      <alignment horizontal="left" vertical="center" wrapText="1"/>
    </xf>
    <xf numFmtId="0" fontId="52" fillId="0" borderId="0" xfId="0" applyFont="1" applyAlignment="1">
      <alignment vertical="center" wrapText="1"/>
    </xf>
    <xf numFmtId="0" fontId="51" fillId="0" borderId="12" xfId="0" applyFont="1" applyBorder="1" applyAlignment="1">
      <alignment horizontal="left" wrapText="1"/>
    </xf>
    <xf numFmtId="0" fontId="11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right" vertical="center"/>
    </xf>
    <xf numFmtId="0" fontId="51" fillId="0" borderId="10" xfId="0" quotePrefix="1" applyFont="1" applyBorder="1" applyAlignment="1">
      <alignment horizontal="center" wrapText="1"/>
    </xf>
    <xf numFmtId="0" fontId="51" fillId="2" borderId="2" xfId="0" applyFont="1" applyFill="1" applyBorder="1" applyAlignment="1">
      <alignment horizontal="center" vertical="center" wrapText="1"/>
    </xf>
    <xf numFmtId="0" fontId="51" fillId="0" borderId="2" xfId="0" quotePrefix="1" applyFont="1" applyBorder="1" applyAlignment="1">
      <alignment horizontal="center" vertical="center" wrapText="1"/>
    </xf>
    <xf numFmtId="0" fontId="33" fillId="9" borderId="14" xfId="0" applyFont="1" applyFill="1" applyBorder="1" applyAlignment="1">
      <alignment vertical="center"/>
    </xf>
    <xf numFmtId="4" fontId="51" fillId="9" borderId="2" xfId="0" applyNumberFormat="1" applyFont="1" applyFill="1" applyBorder="1" applyAlignment="1">
      <alignment horizontal="right"/>
    </xf>
    <xf numFmtId="4" fontId="51" fillId="0" borderId="2" xfId="0" applyNumberFormat="1" applyFont="1" applyBorder="1" applyAlignment="1">
      <alignment horizontal="right"/>
    </xf>
    <xf numFmtId="0" fontId="10" fillId="9" borderId="13" xfId="0" applyFont="1" applyFill="1" applyBorder="1" applyAlignment="1">
      <alignment horizontal="left" vertical="center"/>
    </xf>
    <xf numFmtId="0" fontId="52" fillId="0" borderId="0" xfId="0" applyFont="1" applyAlignment="1">
      <alignment horizontal="center" vertical="center" wrapText="1"/>
    </xf>
    <xf numFmtId="0" fontId="52" fillId="0" borderId="0" xfId="0" applyFont="1"/>
    <xf numFmtId="0" fontId="51" fillId="0" borderId="0" xfId="0" applyFont="1" applyAlignment="1">
      <alignment horizontal="left" wrapText="1"/>
    </xf>
    <xf numFmtId="0" fontId="10" fillId="0" borderId="2" xfId="0" applyFont="1" applyBorder="1" applyAlignment="1">
      <alignment horizontal="left" vertical="center" wrapText="1"/>
    </xf>
    <xf numFmtId="3" fontId="51" fillId="0" borderId="2" xfId="0" applyNumberFormat="1" applyFont="1" applyBorder="1" applyAlignment="1">
      <alignment horizontal="right"/>
    </xf>
    <xf numFmtId="0" fontId="33" fillId="0" borderId="2" xfId="0" applyFont="1" applyBorder="1" applyAlignment="1">
      <alignment vertical="center" wrapText="1"/>
    </xf>
    <xf numFmtId="0" fontId="51" fillId="9" borderId="2" xfId="0" applyFont="1" applyFill="1" applyBorder="1" applyAlignment="1">
      <alignment horizontal="left" vertical="center" wrapText="1"/>
    </xf>
    <xf numFmtId="0" fontId="50" fillId="9" borderId="0" xfId="0" applyFont="1" applyFill="1"/>
    <xf numFmtId="4" fontId="51" fillId="9" borderId="10" xfId="0" applyNumberFormat="1" applyFont="1" applyFill="1" applyBorder="1" applyAlignment="1">
      <alignment horizontal="right" wrapText="1"/>
    </xf>
    <xf numFmtId="0" fontId="14" fillId="2" borderId="0" xfId="2" applyFont="1" applyFill="1" applyAlignment="1">
      <alignment vertical="center"/>
    </xf>
    <xf numFmtId="0" fontId="14" fillId="2" borderId="0" xfId="2" applyFont="1" applyFill="1" applyAlignment="1">
      <alignment horizontal="center" vertical="center"/>
    </xf>
    <xf numFmtId="165" fontId="14" fillId="2" borderId="0" xfId="2" applyNumberFormat="1" applyFont="1" applyFill="1" applyAlignment="1">
      <alignment horizontal="center" vertical="center" wrapText="1"/>
    </xf>
    <xf numFmtId="2" fontId="14" fillId="2" borderId="0" xfId="2" applyNumberFormat="1" applyFont="1" applyFill="1" applyAlignment="1">
      <alignment horizontal="center" vertical="center" wrapText="1"/>
    </xf>
    <xf numFmtId="3" fontId="14" fillId="4" borderId="2" xfId="3" applyNumberFormat="1" applyFont="1" applyFill="1" applyBorder="1" applyAlignment="1">
      <alignment horizontal="center" vertical="center" wrapText="1"/>
    </xf>
    <xf numFmtId="0" fontId="14" fillId="4" borderId="2" xfId="3" applyFont="1" applyFill="1" applyBorder="1" applyAlignment="1">
      <alignment horizontal="center" vertical="center" wrapText="1"/>
    </xf>
    <xf numFmtId="2" fontId="27" fillId="0" borderId="2" xfId="3" applyNumberFormat="1" applyFont="1" applyBorder="1" applyAlignment="1">
      <alignment horizontal="center" vertical="center" wrapText="1"/>
    </xf>
    <xf numFmtId="0" fontId="22" fillId="3" borderId="2" xfId="3" applyFont="1" applyFill="1" applyBorder="1" applyAlignment="1">
      <alignment horizontal="center" vertical="center" wrapText="1"/>
    </xf>
    <xf numFmtId="1" fontId="22" fillId="0" borderId="2" xfId="3" applyNumberFormat="1" applyFont="1" applyBorder="1" applyAlignment="1">
      <alignment horizontal="center" vertical="center"/>
    </xf>
    <xf numFmtId="3" fontId="27" fillId="6" borderId="2" xfId="3" applyNumberFormat="1" applyFont="1" applyFill="1" applyBorder="1" applyAlignment="1">
      <alignment horizontal="center" vertical="center" wrapText="1"/>
    </xf>
    <xf numFmtId="3" fontId="27" fillId="6" borderId="2" xfId="3" applyNumberFormat="1" applyFont="1" applyFill="1" applyBorder="1" applyAlignment="1">
      <alignment horizontal="right" vertical="center" wrapText="1"/>
    </xf>
    <xf numFmtId="3" fontId="27" fillId="6" borderId="2" xfId="3" applyNumberFormat="1" applyFont="1" applyFill="1" applyBorder="1" applyAlignment="1">
      <alignment horizontal="left" vertical="center"/>
    </xf>
    <xf numFmtId="165" fontId="27" fillId="6" borderId="2" xfId="3" applyNumberFormat="1" applyFont="1" applyFill="1" applyBorder="1" applyAlignment="1">
      <alignment horizontal="right" vertical="center" wrapText="1"/>
    </xf>
    <xf numFmtId="4" fontId="27" fillId="0" borderId="0" xfId="3" applyNumberFormat="1" applyFont="1" applyAlignment="1">
      <alignment vertical="center"/>
    </xf>
    <xf numFmtId="49" fontId="27" fillId="7" borderId="2" xfId="3" applyNumberFormat="1" applyFont="1" applyFill="1" applyBorder="1" applyAlignment="1">
      <alignment horizontal="center" vertical="center"/>
    </xf>
    <xf numFmtId="49" fontId="27" fillId="7" borderId="2" xfId="3" applyNumberFormat="1" applyFont="1" applyFill="1" applyBorder="1" applyAlignment="1">
      <alignment horizontal="left" vertical="center" wrapText="1"/>
    </xf>
    <xf numFmtId="2" fontId="27" fillId="7" borderId="2" xfId="3" applyNumberFormat="1" applyFont="1" applyFill="1" applyBorder="1" applyAlignment="1">
      <alignment horizontal="right" vertical="center"/>
    </xf>
    <xf numFmtId="49" fontId="27" fillId="3" borderId="2" xfId="3" applyNumberFormat="1" applyFont="1" applyFill="1" applyBorder="1" applyAlignment="1">
      <alignment horizontal="center" vertical="center"/>
    </xf>
    <xf numFmtId="49" fontId="27" fillId="3" borderId="2" xfId="3" applyNumberFormat="1" applyFont="1" applyFill="1" applyBorder="1" applyAlignment="1">
      <alignment horizontal="left" vertical="center" wrapText="1"/>
    </xf>
    <xf numFmtId="165" fontId="27" fillId="3" borderId="2" xfId="3" applyNumberFormat="1" applyFont="1" applyFill="1" applyBorder="1" applyAlignment="1">
      <alignment horizontal="right" vertical="center"/>
    </xf>
    <xf numFmtId="2" fontId="27" fillId="0" borderId="2" xfId="3" applyNumberFormat="1" applyFont="1" applyBorder="1" applyAlignment="1">
      <alignment horizontal="right" vertical="center"/>
    </xf>
    <xf numFmtId="49" fontId="28" fillId="3" borderId="2" xfId="3" applyNumberFormat="1" applyFont="1" applyFill="1" applyBorder="1" applyAlignment="1">
      <alignment horizontal="center" vertical="center"/>
    </xf>
    <xf numFmtId="49" fontId="28" fillId="3" borderId="2" xfId="3" applyNumberFormat="1" applyFont="1" applyFill="1" applyBorder="1" applyAlignment="1">
      <alignment horizontal="left" vertical="center" wrapText="1"/>
    </xf>
    <xf numFmtId="165" fontId="28" fillId="3" borderId="2" xfId="3" applyNumberFormat="1" applyFont="1" applyFill="1" applyBorder="1" applyAlignment="1">
      <alignment horizontal="right" vertical="center"/>
    </xf>
    <xf numFmtId="0" fontId="25" fillId="0" borderId="2" xfId="3" applyFont="1" applyBorder="1" applyAlignment="1">
      <alignment vertical="center"/>
    </xf>
    <xf numFmtId="0" fontId="25" fillId="0" borderId="2" xfId="3" applyFont="1" applyBorder="1" applyAlignment="1">
      <alignment horizontal="right" vertical="center"/>
    </xf>
    <xf numFmtId="2" fontId="24" fillId="8" borderId="2" xfId="3" applyNumberFormat="1" applyFont="1" applyFill="1" applyBorder="1" applyAlignment="1">
      <alignment horizontal="right" vertical="center"/>
    </xf>
    <xf numFmtId="3" fontId="25" fillId="0" borderId="0" xfId="3" applyNumberFormat="1" applyFont="1" applyAlignment="1">
      <alignment vertical="center"/>
    </xf>
    <xf numFmtId="0" fontId="25" fillId="0" borderId="0" xfId="3" applyFont="1" applyAlignment="1">
      <alignment vertical="center"/>
    </xf>
    <xf numFmtId="49" fontId="27" fillId="0" borderId="2" xfId="3" applyNumberFormat="1" applyFont="1" applyBorder="1" applyAlignment="1">
      <alignment horizontal="center" vertical="center"/>
    </xf>
    <xf numFmtId="49" fontId="27" fillId="0" borderId="2" xfId="3" applyNumberFormat="1" applyFont="1" applyBorder="1" applyAlignment="1">
      <alignment horizontal="left" vertical="center" wrapText="1"/>
    </xf>
    <xf numFmtId="49" fontId="28" fillId="0" borderId="2" xfId="3" applyNumberFormat="1" applyFont="1" applyBorder="1" applyAlignment="1">
      <alignment horizontal="left" vertical="center" wrapText="1"/>
    </xf>
    <xf numFmtId="49" fontId="28" fillId="0" borderId="2" xfId="3" applyNumberFormat="1" applyFont="1" applyBorder="1" applyAlignment="1">
      <alignment horizontal="center" vertical="center"/>
    </xf>
    <xf numFmtId="0" fontId="27" fillId="9" borderId="2" xfId="3" applyFont="1" applyFill="1" applyBorder="1" applyAlignment="1">
      <alignment horizontal="center" vertical="center"/>
    </xf>
    <xf numFmtId="49" fontId="27" fillId="9" borderId="2" xfId="3" applyNumberFormat="1" applyFont="1" applyFill="1" applyBorder="1" applyAlignment="1">
      <alignment horizontal="left" vertical="center" wrapText="1"/>
    </xf>
    <xf numFmtId="2" fontId="27" fillId="9" borderId="2" xfId="3" applyNumberFormat="1" applyFont="1" applyFill="1" applyBorder="1" applyAlignment="1">
      <alignment horizontal="right" vertical="center"/>
    </xf>
    <xf numFmtId="0" fontId="27" fillId="0" borderId="2" xfId="3" applyFont="1" applyBorder="1" applyAlignment="1">
      <alignment horizontal="center" vertical="center"/>
    </xf>
    <xf numFmtId="0" fontId="27" fillId="7" borderId="2" xfId="3" applyFont="1" applyFill="1" applyBorder="1" applyAlignment="1">
      <alignment horizontal="right" vertical="center"/>
    </xf>
    <xf numFmtId="0" fontId="27" fillId="7" borderId="2" xfId="3" applyFont="1" applyFill="1" applyBorder="1" applyAlignment="1">
      <alignment horizontal="center" vertical="center"/>
    </xf>
    <xf numFmtId="0" fontId="27" fillId="7" borderId="2" xfId="3" applyFont="1" applyFill="1" applyBorder="1" applyAlignment="1">
      <alignment horizontal="left" vertical="center" wrapText="1"/>
    </xf>
    <xf numFmtId="0" fontId="27" fillId="4" borderId="2" xfId="3" applyFont="1" applyFill="1" applyBorder="1" applyAlignment="1">
      <alignment horizontal="center" vertical="center"/>
    </xf>
    <xf numFmtId="0" fontId="27" fillId="4" borderId="2" xfId="3" applyFont="1" applyFill="1" applyBorder="1" applyAlignment="1">
      <alignment horizontal="left" vertical="center" wrapText="1"/>
    </xf>
    <xf numFmtId="0" fontId="28" fillId="4" borderId="2" xfId="3" applyFont="1" applyFill="1" applyBorder="1" applyAlignment="1">
      <alignment horizontal="center" vertical="center"/>
    </xf>
    <xf numFmtId="0" fontId="28" fillId="4" borderId="2" xfId="3" applyFont="1" applyFill="1" applyBorder="1" applyAlignment="1">
      <alignment horizontal="left" vertical="center" wrapText="1"/>
    </xf>
    <xf numFmtId="0" fontId="46" fillId="0" borderId="2" xfId="3" applyFont="1" applyBorder="1"/>
    <xf numFmtId="0" fontId="40" fillId="0" borderId="2" xfId="3" applyFont="1" applyBorder="1" applyAlignment="1">
      <alignment horizontal="right" vertical="center"/>
    </xf>
    <xf numFmtId="0" fontId="18" fillId="0" borderId="2" xfId="3" applyFont="1" applyBorder="1" applyAlignment="1">
      <alignment horizontal="center" vertical="center"/>
    </xf>
    <xf numFmtId="0" fontId="46" fillId="0" borderId="2" xfId="3" applyFont="1" applyBorder="1" applyAlignment="1">
      <alignment horizontal="right" vertical="center"/>
    </xf>
    <xf numFmtId="0" fontId="15" fillId="0" borderId="2" xfId="3" applyFont="1" applyBorder="1" applyAlignment="1">
      <alignment horizontal="center" vertical="center"/>
    </xf>
    <xf numFmtId="165" fontId="48" fillId="0" borderId="2" xfId="3" applyNumberFormat="1" applyFont="1" applyBorder="1"/>
    <xf numFmtId="165" fontId="27" fillId="7" borderId="2" xfId="3" applyNumberFormat="1" applyFont="1" applyFill="1" applyBorder="1" applyAlignment="1">
      <alignment horizontal="right" vertical="center" wrapText="1"/>
    </xf>
    <xf numFmtId="165" fontId="27" fillId="4" borderId="2" xfId="3" applyNumberFormat="1" applyFont="1" applyFill="1" applyBorder="1" applyAlignment="1">
      <alignment horizontal="right" vertical="center" wrapText="1"/>
    </xf>
    <xf numFmtId="165" fontId="28" fillId="4" borderId="2" xfId="3" applyNumberFormat="1" applyFont="1" applyFill="1" applyBorder="1" applyAlignment="1">
      <alignment horizontal="right" vertical="center" wrapText="1"/>
    </xf>
    <xf numFmtId="165" fontId="46" fillId="0" borderId="2" xfId="3" applyNumberFormat="1" applyFont="1" applyBorder="1"/>
    <xf numFmtId="165" fontId="28" fillId="4" borderId="0" xfId="3" applyNumberFormat="1" applyFont="1" applyFill="1" applyAlignment="1">
      <alignment horizontal="right" vertical="center" wrapText="1"/>
    </xf>
    <xf numFmtId="0" fontId="34" fillId="0" borderId="0" xfId="3" applyFont="1" applyAlignment="1">
      <alignment vertical="center"/>
    </xf>
    <xf numFmtId="0" fontId="28" fillId="0" borderId="0" xfId="3" applyFont="1" applyAlignment="1">
      <alignment vertical="center"/>
    </xf>
    <xf numFmtId="0" fontId="27" fillId="3" borderId="2" xfId="3" applyFont="1" applyFill="1" applyBorder="1" applyAlignment="1">
      <alignment horizontal="center" vertical="center"/>
    </xf>
    <xf numFmtId="0" fontId="28" fillId="3" borderId="2" xfId="3" applyFont="1" applyFill="1" applyBorder="1" applyAlignment="1">
      <alignment horizontal="center" vertical="center"/>
    </xf>
    <xf numFmtId="0" fontId="35" fillId="2" borderId="2" xfId="3" applyFont="1" applyFill="1" applyBorder="1" applyAlignment="1">
      <alignment vertical="center"/>
    </xf>
    <xf numFmtId="0" fontId="36" fillId="0" borderId="2" xfId="3" applyFont="1" applyBorder="1" applyAlignment="1">
      <alignment horizontal="right" vertical="center"/>
    </xf>
    <xf numFmtId="0" fontId="46" fillId="0" borderId="2" xfId="3" applyFont="1" applyBorder="1" applyAlignment="1">
      <alignment vertical="center"/>
    </xf>
    <xf numFmtId="0" fontId="24" fillId="8" borderId="4" xfId="3" applyFont="1" applyFill="1" applyBorder="1" applyAlignment="1">
      <alignment horizontal="center" vertical="center"/>
    </xf>
    <xf numFmtId="49" fontId="24" fillId="8" borderId="4" xfId="3" applyNumberFormat="1" applyFont="1" applyFill="1" applyBorder="1" applyAlignment="1">
      <alignment horizontal="left" vertical="center" wrapText="1"/>
    </xf>
    <xf numFmtId="0" fontId="27" fillId="10" borderId="2" xfId="3" applyFont="1" applyFill="1" applyBorder="1" applyAlignment="1">
      <alignment horizontal="center" vertical="center"/>
    </xf>
    <xf numFmtId="49" fontId="27" fillId="10" borderId="2" xfId="3" applyNumberFormat="1" applyFont="1" applyFill="1" applyBorder="1" applyAlignment="1">
      <alignment horizontal="left" vertical="center" wrapText="1"/>
    </xf>
    <xf numFmtId="2" fontId="27" fillId="10" borderId="2" xfId="3" applyNumberFormat="1" applyFont="1" applyFill="1" applyBorder="1" applyAlignment="1">
      <alignment horizontal="right" vertical="center"/>
    </xf>
    <xf numFmtId="0" fontId="28" fillId="0" borderId="2" xfId="3" applyFont="1" applyBorder="1" applyAlignment="1">
      <alignment horizontal="center" vertical="center"/>
    </xf>
    <xf numFmtId="0" fontId="36" fillId="0" borderId="4" xfId="3" applyFont="1" applyBorder="1" applyAlignment="1">
      <alignment vertical="center"/>
    </xf>
    <xf numFmtId="0" fontId="27" fillId="0" borderId="4" xfId="3" applyFont="1" applyBorder="1" applyAlignment="1">
      <alignment horizontal="center" vertical="center"/>
    </xf>
    <xf numFmtId="49" fontId="27" fillId="0" borderId="4" xfId="3" applyNumberFormat="1" applyFont="1" applyBorder="1" applyAlignment="1">
      <alignment horizontal="left" vertical="center" wrapText="1"/>
    </xf>
    <xf numFmtId="165" fontId="27" fillId="0" borderId="4" xfId="3" applyNumberFormat="1" applyFont="1" applyBorder="1" applyAlignment="1">
      <alignment horizontal="right" vertical="center"/>
    </xf>
    <xf numFmtId="0" fontId="28" fillId="0" borderId="4" xfId="3" applyFont="1" applyBorder="1" applyAlignment="1">
      <alignment horizontal="center" vertical="center"/>
    </xf>
    <xf numFmtId="49" fontId="28" fillId="0" borderId="4" xfId="3" applyNumberFormat="1" applyFont="1" applyBorder="1" applyAlignment="1">
      <alignment horizontal="left" vertical="center" wrapText="1"/>
    </xf>
    <xf numFmtId="165" fontId="28" fillId="0" borderId="4" xfId="3" applyNumberFormat="1" applyFont="1" applyBorder="1" applyAlignment="1">
      <alignment horizontal="right" vertical="center"/>
    </xf>
    <xf numFmtId="165" fontId="14" fillId="4" borderId="8" xfId="3" applyNumberFormat="1" applyFont="1" applyFill="1" applyBorder="1" applyAlignment="1">
      <alignment horizontal="right" vertical="center"/>
    </xf>
    <xf numFmtId="165" fontId="14" fillId="4" borderId="27" xfId="3" applyNumberFormat="1" applyFont="1" applyFill="1" applyBorder="1" applyAlignment="1">
      <alignment horizontal="right" vertical="center"/>
    </xf>
    <xf numFmtId="3" fontId="29" fillId="0" borderId="0" xfId="3" applyNumberFormat="1" applyFont="1" applyAlignment="1">
      <alignment vertical="center"/>
    </xf>
    <xf numFmtId="0" fontId="53" fillId="0" borderId="0" xfId="3" applyFont="1" applyAlignment="1">
      <alignment vertical="center"/>
    </xf>
    <xf numFmtId="3" fontId="14" fillId="0" borderId="0" xfId="3" applyNumberFormat="1" applyFont="1" applyAlignment="1">
      <alignment horizontal="right" vertical="center"/>
    </xf>
    <xf numFmtId="165" fontId="14" fillId="0" borderId="0" xfId="3" applyNumberFormat="1" applyFont="1" applyAlignment="1">
      <alignment horizontal="right" vertical="center"/>
    </xf>
    <xf numFmtId="165" fontId="18" fillId="4" borderId="0" xfId="3" applyNumberFormat="1" applyFont="1" applyFill="1" applyAlignment="1">
      <alignment horizontal="right" vertical="center"/>
    </xf>
    <xf numFmtId="3" fontId="18" fillId="4" borderId="0" xfId="3" applyNumberFormat="1" applyFont="1" applyFill="1" applyAlignment="1">
      <alignment horizontal="right" vertical="center"/>
    </xf>
    <xf numFmtId="2" fontId="18" fillId="4" borderId="0" xfId="3" applyNumberFormat="1" applyFont="1" applyFill="1" applyAlignment="1">
      <alignment horizontal="right" vertical="center"/>
    </xf>
    <xf numFmtId="2" fontId="18" fillId="4" borderId="0" xfId="3" applyNumberFormat="1" applyFont="1" applyFill="1" applyAlignment="1">
      <alignment horizontal="center" vertical="center"/>
    </xf>
    <xf numFmtId="3" fontId="27" fillId="4" borderId="0" xfId="3" applyNumberFormat="1" applyFont="1" applyFill="1" applyAlignment="1">
      <alignment horizontal="center" vertical="center"/>
    </xf>
    <xf numFmtId="165" fontId="14" fillId="4" borderId="3" xfId="3" applyNumberFormat="1" applyFont="1" applyFill="1" applyBorder="1" applyAlignment="1">
      <alignment horizontal="center" vertical="center" wrapText="1"/>
    </xf>
    <xf numFmtId="0" fontId="14" fillId="4" borderId="3" xfId="3" applyFont="1" applyFill="1" applyBorder="1" applyAlignment="1">
      <alignment horizontal="center" vertical="center" wrapText="1"/>
    </xf>
    <xf numFmtId="2" fontId="49" fillId="4" borderId="2" xfId="3" applyNumberFormat="1" applyFont="1" applyFill="1" applyBorder="1" applyAlignment="1">
      <alignment horizontal="center" vertical="center" wrapText="1"/>
    </xf>
    <xf numFmtId="0" fontId="21" fillId="3" borderId="2" xfId="1" applyNumberFormat="1" applyFont="1" applyFill="1" applyBorder="1" applyAlignment="1">
      <alignment horizontal="center" vertical="center" wrapText="1"/>
    </xf>
    <xf numFmtId="2" fontId="22" fillId="0" borderId="2" xfId="3" applyNumberFormat="1" applyFont="1" applyBorder="1" applyAlignment="1">
      <alignment horizontal="center" vertical="center"/>
    </xf>
    <xf numFmtId="2" fontId="27" fillId="6" borderId="9" xfId="3" applyNumberFormat="1" applyFont="1" applyFill="1" applyBorder="1" applyAlignment="1">
      <alignment horizontal="right" vertical="center" wrapText="1"/>
    </xf>
    <xf numFmtId="2" fontId="28" fillId="0" borderId="2" xfId="3" applyNumberFormat="1" applyFont="1" applyBorder="1" applyAlignment="1">
      <alignment horizontal="right" vertical="center"/>
    </xf>
    <xf numFmtId="2" fontId="27" fillId="4" borderId="2" xfId="3" applyNumberFormat="1" applyFont="1" applyFill="1" applyBorder="1" applyAlignment="1">
      <alignment vertical="center"/>
    </xf>
    <xf numFmtId="2" fontId="28" fillId="4" borderId="2" xfId="3" applyNumberFormat="1" applyFont="1" applyFill="1" applyBorder="1" applyAlignment="1">
      <alignment vertical="center"/>
    </xf>
    <xf numFmtId="0" fontId="42" fillId="9" borderId="2" xfId="3" applyFont="1" applyFill="1" applyBorder="1"/>
    <xf numFmtId="0" fontId="42" fillId="0" borderId="2" xfId="3" applyFont="1" applyBorder="1"/>
    <xf numFmtId="2" fontId="24" fillId="5" borderId="2" xfId="3" applyNumberFormat="1" applyFont="1" applyFill="1" applyBorder="1" applyAlignment="1">
      <alignment horizontal="right" vertical="center" wrapText="1"/>
    </xf>
    <xf numFmtId="0" fontId="54" fillId="9" borderId="2" xfId="3" applyFont="1" applyFill="1" applyBorder="1" applyAlignment="1">
      <alignment horizontal="right" vertical="center"/>
    </xf>
    <xf numFmtId="0" fontId="54" fillId="9" borderId="2" xfId="3" applyFont="1" applyFill="1" applyBorder="1" applyAlignment="1">
      <alignment vertical="center"/>
    </xf>
    <xf numFmtId="0" fontId="54" fillId="9" borderId="2" xfId="3" applyFont="1" applyFill="1" applyBorder="1"/>
    <xf numFmtId="0" fontId="54" fillId="0" borderId="2" xfId="3" applyFont="1" applyBorder="1" applyAlignment="1">
      <alignment horizontal="right" vertical="center"/>
    </xf>
    <xf numFmtId="0" fontId="54" fillId="0" borderId="2" xfId="3" applyFont="1" applyBorder="1" applyAlignment="1">
      <alignment vertical="center"/>
    </xf>
    <xf numFmtId="0" fontId="54" fillId="0" borderId="2" xfId="3" applyFont="1" applyBorder="1"/>
    <xf numFmtId="0" fontId="37" fillId="0" borderId="2" xfId="3" applyFont="1" applyBorder="1" applyAlignment="1">
      <alignment horizontal="right" vertical="center"/>
    </xf>
    <xf numFmtId="0" fontId="37" fillId="0" borderId="2" xfId="3" applyFont="1" applyBorder="1" applyAlignment="1">
      <alignment vertical="center"/>
    </xf>
    <xf numFmtId="0" fontId="37" fillId="0" borderId="2" xfId="3" applyFont="1" applyBorder="1"/>
    <xf numFmtId="2" fontId="24" fillId="8" borderId="2" xfId="3" applyNumberFormat="1" applyFont="1" applyFill="1" applyBorder="1" applyAlignment="1">
      <alignment horizontal="right" vertical="center" wrapText="1"/>
    </xf>
    <xf numFmtId="165" fontId="40" fillId="6" borderId="2" xfId="3" applyNumberFormat="1" applyFont="1" applyFill="1" applyBorder="1" applyAlignment="1">
      <alignment horizontal="right" vertical="center" wrapText="1"/>
    </xf>
    <xf numFmtId="2" fontId="40" fillId="6" borderId="2" xfId="3" applyNumberFormat="1" applyFont="1" applyFill="1" applyBorder="1" applyAlignment="1">
      <alignment horizontal="right" vertical="center" wrapText="1"/>
    </xf>
    <xf numFmtId="2" fontId="27" fillId="0" borderId="2" xfId="3" applyNumberFormat="1" applyFont="1" applyBorder="1" applyAlignment="1">
      <alignment vertical="center"/>
    </xf>
    <xf numFmtId="2" fontId="27" fillId="7" borderId="2" xfId="3" applyNumberFormat="1" applyFont="1" applyFill="1" applyBorder="1" applyAlignment="1">
      <alignment vertical="center"/>
    </xf>
    <xf numFmtId="2" fontId="28" fillId="0" borderId="2" xfId="3" applyNumberFormat="1" applyFont="1" applyBorder="1" applyAlignment="1">
      <alignment vertical="center"/>
    </xf>
    <xf numFmtId="49" fontId="27" fillId="10" borderId="2" xfId="3" applyNumberFormat="1" applyFont="1" applyFill="1" applyBorder="1" applyAlignment="1">
      <alignment horizontal="right" vertical="center"/>
    </xf>
    <xf numFmtId="165" fontId="27" fillId="10" borderId="2" xfId="3" applyNumberFormat="1" applyFont="1" applyFill="1" applyBorder="1" applyAlignment="1">
      <alignment vertical="center"/>
    </xf>
    <xf numFmtId="2" fontId="27" fillId="6" borderId="2" xfId="3" applyNumberFormat="1" applyFont="1" applyFill="1" applyBorder="1" applyAlignment="1">
      <alignment vertical="center"/>
    </xf>
    <xf numFmtId="2" fontId="27" fillId="6" borderId="2" xfId="3" applyNumberFormat="1" applyFont="1" applyFill="1" applyBorder="1" applyAlignment="1">
      <alignment horizontal="right" vertical="center"/>
    </xf>
    <xf numFmtId="2" fontId="27" fillId="4" borderId="2" xfId="3" applyNumberFormat="1" applyFont="1" applyFill="1" applyBorder="1" applyAlignment="1">
      <alignment horizontal="right" vertical="center"/>
    </xf>
    <xf numFmtId="2" fontId="28" fillId="4" borderId="2" xfId="3" applyNumberFormat="1" applyFont="1" applyFill="1" applyBorder="1" applyAlignment="1">
      <alignment horizontal="right" vertical="center"/>
    </xf>
    <xf numFmtId="165" fontId="9" fillId="10" borderId="2" xfId="3" applyNumberFormat="1" applyFont="1" applyFill="1" applyBorder="1" applyAlignment="1">
      <alignment horizontal="right" vertical="center"/>
    </xf>
    <xf numFmtId="2" fontId="9" fillId="10" borderId="2" xfId="3" applyNumberFormat="1" applyFont="1" applyFill="1" applyBorder="1" applyAlignment="1">
      <alignment horizontal="right" vertical="center"/>
    </xf>
    <xf numFmtId="165" fontId="9" fillId="0" borderId="2" xfId="3" applyNumberFormat="1" applyFont="1" applyBorder="1" applyAlignment="1">
      <alignment horizontal="right" vertical="center"/>
    </xf>
    <xf numFmtId="2" fontId="9" fillId="0" borderId="2" xfId="3" applyNumberFormat="1" applyFont="1" applyBorder="1" applyAlignment="1">
      <alignment horizontal="right" vertical="center"/>
    </xf>
    <xf numFmtId="165" fontId="48" fillId="0" borderId="2" xfId="3" applyNumberFormat="1" applyFont="1" applyBorder="1" applyAlignment="1">
      <alignment horizontal="right" vertical="center"/>
    </xf>
    <xf numFmtId="2" fontId="48" fillId="0" borderId="2" xfId="3" applyNumberFormat="1" applyFont="1" applyBorder="1" applyAlignment="1">
      <alignment horizontal="right" vertical="center"/>
    </xf>
    <xf numFmtId="0" fontId="48" fillId="0" borderId="10" xfId="3" applyFont="1" applyBorder="1" applyAlignment="1">
      <alignment vertical="center"/>
    </xf>
    <xf numFmtId="49" fontId="9" fillId="3" borderId="2" xfId="3" applyNumberFormat="1" applyFont="1" applyFill="1" applyBorder="1" applyAlignment="1">
      <alignment horizontal="right" vertical="center"/>
    </xf>
    <xf numFmtId="49" fontId="55" fillId="0" borderId="2" xfId="3" applyNumberFormat="1" applyFont="1" applyBorder="1" applyAlignment="1">
      <alignment horizontal="right" vertical="center"/>
    </xf>
    <xf numFmtId="49" fontId="9" fillId="0" borderId="2" xfId="3" applyNumberFormat="1" applyFont="1" applyBorder="1" applyAlignment="1">
      <alignment vertical="center"/>
    </xf>
    <xf numFmtId="49" fontId="48" fillId="3" borderId="2" xfId="3" applyNumberFormat="1" applyFont="1" applyFill="1" applyBorder="1" applyAlignment="1">
      <alignment horizontal="right" vertical="center"/>
    </xf>
    <xf numFmtId="49" fontId="24" fillId="0" borderId="2" xfId="3" applyNumberFormat="1" applyFont="1" applyBorder="1" applyAlignment="1">
      <alignment horizontal="right" vertical="center"/>
    </xf>
    <xf numFmtId="49" fontId="48" fillId="0" borderId="2" xfId="3" applyNumberFormat="1" applyFont="1" applyBorder="1" applyAlignment="1">
      <alignment vertical="center"/>
    </xf>
    <xf numFmtId="49" fontId="25" fillId="6" borderId="2" xfId="3" applyNumberFormat="1" applyFont="1" applyFill="1" applyBorder="1" applyAlignment="1">
      <alignment horizontal="right" vertical="center"/>
    </xf>
    <xf numFmtId="165" fontId="40" fillId="6" borderId="2" xfId="3" applyNumberFormat="1" applyFont="1" applyFill="1" applyBorder="1" applyAlignment="1">
      <alignment horizontal="right" vertical="center"/>
    </xf>
    <xf numFmtId="2" fontId="40" fillId="6" borderId="2" xfId="3" applyNumberFormat="1" applyFont="1" applyFill="1" applyBorder="1" applyAlignment="1">
      <alignment horizontal="right" vertical="center"/>
    </xf>
    <xf numFmtId="2" fontId="28" fillId="4" borderId="4" xfId="3" applyNumberFormat="1" applyFont="1" applyFill="1" applyBorder="1" applyAlignment="1">
      <alignment horizontal="right" vertical="center"/>
    </xf>
    <xf numFmtId="165" fontId="24" fillId="5" borderId="4" xfId="3" applyNumberFormat="1" applyFont="1" applyFill="1" applyBorder="1" applyAlignment="1">
      <alignment horizontal="right" vertical="center"/>
    </xf>
    <xf numFmtId="2" fontId="24" fillId="5" borderId="4" xfId="3" applyNumberFormat="1" applyFont="1" applyFill="1" applyBorder="1" applyAlignment="1">
      <alignment horizontal="right" vertical="center"/>
    </xf>
    <xf numFmtId="2" fontId="14" fillId="4" borderId="8" xfId="3" applyNumberFormat="1" applyFont="1" applyFill="1" applyBorder="1" applyAlignment="1">
      <alignment vertical="center"/>
    </xf>
    <xf numFmtId="3" fontId="27" fillId="11" borderId="0" xfId="3" applyNumberFormat="1" applyFont="1" applyFill="1" applyAlignment="1">
      <alignment horizontal="right" vertical="center"/>
    </xf>
    <xf numFmtId="2" fontId="27" fillId="11" borderId="0" xfId="3" applyNumberFormat="1" applyFont="1" applyFill="1" applyAlignment="1">
      <alignment vertical="center"/>
    </xf>
    <xf numFmtId="2" fontId="18" fillId="0" borderId="0" xfId="3" applyNumberFormat="1" applyFont="1" applyAlignment="1">
      <alignment horizontal="right" vertical="center"/>
    </xf>
    <xf numFmtId="2" fontId="34" fillId="0" borderId="0" xfId="3" applyNumberFormat="1" applyFont="1" applyAlignment="1">
      <alignment vertical="center"/>
    </xf>
    <xf numFmtId="2" fontId="28" fillId="0" borderId="0" xfId="3" applyNumberFormat="1" applyFont="1" applyAlignment="1">
      <alignment vertical="center"/>
    </xf>
    <xf numFmtId="0" fontId="51" fillId="0" borderId="10" xfId="0" quotePrefix="1" applyFont="1" applyBorder="1" applyAlignment="1">
      <alignment horizontal="center" vertical="center" wrapText="1"/>
    </xf>
    <xf numFmtId="0" fontId="14" fillId="2" borderId="0" xfId="2" applyFont="1" applyFill="1" applyAlignment="1">
      <alignment vertical="center" wrapText="1"/>
    </xf>
    <xf numFmtId="0" fontId="53" fillId="0" borderId="0" xfId="3" applyFont="1"/>
    <xf numFmtId="0" fontId="27" fillId="2" borderId="2" xfId="2" applyFont="1" applyFill="1" applyBorder="1" applyAlignment="1">
      <alignment horizontal="center" vertical="center" wrapText="1"/>
    </xf>
    <xf numFmtId="165" fontId="19" fillId="4" borderId="28" xfId="3" applyNumberFormat="1" applyFont="1" applyFill="1" applyBorder="1" applyAlignment="1">
      <alignment horizontal="center" vertical="center" wrapText="1"/>
    </xf>
    <xf numFmtId="165" fontId="19" fillId="4" borderId="2" xfId="3" applyNumberFormat="1" applyFont="1" applyFill="1" applyBorder="1" applyAlignment="1">
      <alignment horizontal="center" vertical="center" wrapText="1"/>
    </xf>
    <xf numFmtId="0" fontId="14" fillId="4" borderId="19" xfId="3" applyFont="1" applyFill="1" applyBorder="1" applyAlignment="1">
      <alignment horizontal="center" vertical="center" wrapText="1"/>
    </xf>
    <xf numFmtId="0" fontId="14" fillId="4" borderId="20" xfId="3" applyFont="1" applyFill="1" applyBorder="1" applyAlignment="1">
      <alignment horizontal="center" vertical="center" wrapText="1"/>
    </xf>
    <xf numFmtId="0" fontId="35" fillId="0" borderId="0" xfId="3" applyFont="1"/>
    <xf numFmtId="0" fontId="21" fillId="2" borderId="32" xfId="2" applyFont="1" applyFill="1" applyBorder="1" applyAlignment="1">
      <alignment horizontal="center" vertical="center" wrapText="1"/>
    </xf>
    <xf numFmtId="3" fontId="21" fillId="4" borderId="21" xfId="3" applyNumberFormat="1" applyFont="1" applyFill="1" applyBorder="1" applyAlignment="1">
      <alignment horizontal="center" vertical="center" wrapText="1"/>
    </xf>
    <xf numFmtId="3" fontId="21" fillId="4" borderId="2" xfId="3" applyNumberFormat="1" applyFont="1" applyFill="1" applyBorder="1" applyAlignment="1">
      <alignment horizontal="center" vertical="center" wrapText="1"/>
    </xf>
    <xf numFmtId="3" fontId="21" fillId="4" borderId="23" xfId="3" applyNumberFormat="1" applyFont="1" applyFill="1" applyBorder="1" applyAlignment="1">
      <alignment horizontal="center" vertical="center" wrapText="1"/>
    </xf>
    <xf numFmtId="3" fontId="21" fillId="4" borderId="17" xfId="3" applyNumberFormat="1" applyFont="1" applyFill="1" applyBorder="1" applyAlignment="1">
      <alignment horizontal="center" vertical="center" wrapText="1"/>
    </xf>
    <xf numFmtId="0" fontId="56" fillId="0" borderId="0" xfId="3" applyFont="1"/>
    <xf numFmtId="0" fontId="18" fillId="10" borderId="21" xfId="2" applyFont="1" applyFill="1" applyBorder="1" applyAlignment="1">
      <alignment horizontal="center" vertical="center" wrapText="1"/>
    </xf>
    <xf numFmtId="165" fontId="18" fillId="6" borderId="21" xfId="3" applyNumberFormat="1" applyFont="1" applyFill="1" applyBorder="1" applyAlignment="1">
      <alignment horizontal="right" vertical="center" wrapText="1"/>
    </xf>
    <xf numFmtId="165" fontId="18" fillId="6" borderId="2" xfId="3" applyNumberFormat="1" applyFont="1" applyFill="1" applyBorder="1" applyAlignment="1">
      <alignment horizontal="right" vertical="center" wrapText="1"/>
    </xf>
    <xf numFmtId="49" fontId="27" fillId="0" borderId="21" xfId="8" applyNumberFormat="1" applyFont="1" applyBorder="1" applyAlignment="1">
      <alignment vertical="center" wrapText="1"/>
    </xf>
    <xf numFmtId="165" fontId="27" fillId="0" borderId="21" xfId="8" applyNumberFormat="1" applyFont="1" applyBorder="1" applyAlignment="1">
      <alignment horizontal="right" vertical="center"/>
    </xf>
    <xf numFmtId="165" fontId="27" fillId="0" borderId="2" xfId="8" applyNumberFormat="1" applyFont="1" applyBorder="1" applyAlignment="1">
      <alignment horizontal="right" vertical="center"/>
    </xf>
    <xf numFmtId="0" fontId="36" fillId="0" borderId="0" xfId="3" applyFont="1"/>
    <xf numFmtId="49" fontId="28" fillId="0" borderId="21" xfId="8" applyNumberFormat="1" applyFont="1" applyBorder="1" applyAlignment="1">
      <alignment vertical="center" wrapText="1"/>
    </xf>
    <xf numFmtId="165" fontId="28" fillId="0" borderId="21" xfId="8" applyNumberFormat="1" applyFont="1" applyBorder="1" applyAlignment="1">
      <alignment horizontal="right" vertical="center"/>
    </xf>
    <xf numFmtId="165" fontId="28" fillId="0" borderId="2" xfId="8" applyNumberFormat="1" applyFont="1" applyBorder="1" applyAlignment="1">
      <alignment horizontal="right" vertical="center"/>
    </xf>
    <xf numFmtId="49" fontId="27" fillId="0" borderId="22" xfId="8" applyNumberFormat="1" applyFont="1" applyBorder="1" applyAlignment="1">
      <alignment vertical="center" wrapText="1"/>
    </xf>
    <xf numFmtId="165" fontId="27" fillId="0" borderId="22" xfId="8" applyNumberFormat="1" applyFont="1" applyBorder="1" applyAlignment="1">
      <alignment horizontal="right" vertical="center"/>
    </xf>
    <xf numFmtId="0" fontId="36" fillId="0" borderId="0" xfId="3" applyFont="1" applyAlignment="1">
      <alignment horizontal="right"/>
    </xf>
    <xf numFmtId="49" fontId="28" fillId="2" borderId="13" xfId="2" applyNumberFormat="1" applyFont="1" applyFill="1" applyBorder="1" applyAlignment="1">
      <alignment vertical="center" wrapText="1"/>
    </xf>
    <xf numFmtId="165" fontId="28" fillId="2" borderId="13" xfId="2" applyNumberFormat="1" applyFont="1" applyFill="1" applyBorder="1" applyAlignment="1">
      <alignment horizontal="right" vertical="center" wrapText="1"/>
    </xf>
    <xf numFmtId="165" fontId="28" fillId="2" borderId="2" xfId="2" applyNumberFormat="1" applyFont="1" applyFill="1" applyBorder="1" applyAlignment="1">
      <alignment horizontal="right" vertical="center" wrapText="1"/>
    </xf>
    <xf numFmtId="0" fontId="35" fillId="0" borderId="0" xfId="3" applyFont="1" applyAlignment="1">
      <alignment horizontal="right"/>
    </xf>
    <xf numFmtId="0" fontId="27" fillId="0" borderId="13" xfId="3" applyFont="1" applyBorder="1"/>
    <xf numFmtId="0" fontId="27" fillId="0" borderId="11" xfId="3" applyFont="1" applyBorder="1"/>
    <xf numFmtId="165" fontId="27" fillId="0" borderId="31" xfId="8" applyNumberFormat="1" applyFont="1" applyBorder="1" applyAlignment="1">
      <alignment horizontal="right" vertical="center"/>
    </xf>
    <xf numFmtId="0" fontId="57" fillId="0" borderId="0" xfId="3" applyFont="1"/>
    <xf numFmtId="165" fontId="53" fillId="0" borderId="0" xfId="3" applyNumberFormat="1" applyFont="1"/>
    <xf numFmtId="0" fontId="14" fillId="2" borderId="0" xfId="6" applyFont="1" applyFill="1" applyAlignment="1">
      <alignment horizontal="center" vertical="center" wrapText="1"/>
    </xf>
    <xf numFmtId="0" fontId="29" fillId="2" borderId="0" xfId="6" applyFont="1" applyFill="1" applyAlignment="1">
      <alignment vertical="center" wrapText="1"/>
    </xf>
    <xf numFmtId="0" fontId="29" fillId="2" borderId="0" xfId="6" applyFont="1" applyFill="1" applyAlignment="1">
      <alignment wrapText="1"/>
    </xf>
    <xf numFmtId="0" fontId="29" fillId="2" borderId="0" xfId="6" applyFont="1" applyFill="1" applyAlignment="1">
      <alignment horizontal="right" wrapText="1"/>
    </xf>
    <xf numFmtId="0" fontId="27" fillId="2" borderId="17" xfId="6" applyFont="1" applyFill="1" applyBorder="1" applyAlignment="1">
      <alignment horizontal="center" vertical="center" wrapText="1"/>
    </xf>
    <xf numFmtId="0" fontId="27" fillId="2" borderId="29" xfId="6" applyFont="1" applyFill="1" applyBorder="1" applyAlignment="1">
      <alignment horizontal="center" vertical="center" wrapText="1"/>
    </xf>
    <xf numFmtId="0" fontId="27" fillId="2" borderId="2" xfId="6" applyFont="1" applyFill="1" applyBorder="1" applyAlignment="1">
      <alignment horizontal="center" vertical="center" wrapText="1"/>
    </xf>
    <xf numFmtId="0" fontId="58" fillId="2" borderId="17" xfId="6" applyFont="1" applyFill="1" applyBorder="1" applyAlignment="1">
      <alignment horizontal="center" vertical="center" wrapText="1"/>
    </xf>
    <xf numFmtId="0" fontId="59" fillId="0" borderId="14" xfId="0" applyFont="1" applyBorder="1" applyAlignment="1">
      <alignment horizontal="center" vertical="center" wrapText="1"/>
    </xf>
    <xf numFmtId="0" fontId="59" fillId="0" borderId="2" xfId="0" applyFont="1" applyBorder="1" applyAlignment="1">
      <alignment horizontal="center" vertical="center" wrapText="1"/>
    </xf>
    <xf numFmtId="0" fontId="60" fillId="0" borderId="0" xfId="3" applyFont="1"/>
    <xf numFmtId="0" fontId="14" fillId="2" borderId="17" xfId="6" applyFont="1" applyFill="1" applyBorder="1" applyAlignment="1">
      <alignment horizontal="center" vertical="center" wrapText="1"/>
    </xf>
    <xf numFmtId="0" fontId="14" fillId="2" borderId="17" xfId="6" applyFont="1" applyFill="1" applyBorder="1" applyAlignment="1">
      <alignment horizontal="left" vertical="center" wrapText="1"/>
    </xf>
    <xf numFmtId="165" fontId="14" fillId="2" borderId="17" xfId="6" applyNumberFormat="1" applyFont="1" applyFill="1" applyBorder="1" applyAlignment="1">
      <alignment horizontal="right" vertical="center" wrapText="1"/>
    </xf>
    <xf numFmtId="165" fontId="14" fillId="2" borderId="29" xfId="6" applyNumberFormat="1" applyFont="1" applyFill="1" applyBorder="1" applyAlignment="1">
      <alignment horizontal="right" vertical="center" wrapText="1"/>
    </xf>
    <xf numFmtId="3" fontId="14" fillId="2" borderId="2" xfId="6" applyNumberFormat="1" applyFont="1" applyFill="1" applyBorder="1" applyAlignment="1">
      <alignment horizontal="right" vertical="center"/>
    </xf>
    <xf numFmtId="0" fontId="14" fillId="2" borderId="17" xfId="3" applyFont="1" applyFill="1" applyBorder="1" applyAlignment="1">
      <alignment horizontal="center" vertical="center"/>
    </xf>
    <xf numFmtId="49" fontId="14" fillId="3" borderId="17" xfId="3" applyNumberFormat="1" applyFont="1" applyFill="1" applyBorder="1" applyAlignment="1">
      <alignment horizontal="center" vertical="center"/>
    </xf>
    <xf numFmtId="0" fontId="14" fillId="2" borderId="17" xfId="3" applyFont="1" applyFill="1" applyBorder="1" applyAlignment="1">
      <alignment vertical="center"/>
    </xf>
    <xf numFmtId="49" fontId="14" fillId="3" borderId="17" xfId="3" applyNumberFormat="1" applyFont="1" applyFill="1" applyBorder="1" applyAlignment="1">
      <alignment vertical="center"/>
    </xf>
    <xf numFmtId="165" fontId="14" fillId="3" borderId="17" xfId="3" applyNumberFormat="1" applyFont="1" applyFill="1" applyBorder="1" applyAlignment="1">
      <alignment vertical="center"/>
    </xf>
    <xf numFmtId="165" fontId="14" fillId="3" borderId="29" xfId="3" applyNumberFormat="1" applyFont="1" applyFill="1" applyBorder="1" applyAlignment="1">
      <alignment vertical="center"/>
    </xf>
    <xf numFmtId="49" fontId="14" fillId="3" borderId="0" xfId="3" applyNumberFormat="1" applyFont="1" applyFill="1" applyAlignment="1">
      <alignment horizontal="center" vertical="center"/>
    </xf>
    <xf numFmtId="0" fontId="57" fillId="2" borderId="0" xfId="3" applyFont="1" applyFill="1"/>
    <xf numFmtId="49" fontId="14" fillId="3" borderId="0" xfId="3" applyNumberFormat="1" applyFont="1" applyFill="1" applyAlignment="1">
      <alignment vertical="center"/>
    </xf>
    <xf numFmtId="3" fontId="14" fillId="3" borderId="0" xfId="3" applyNumberFormat="1" applyFont="1" applyFill="1" applyAlignment="1">
      <alignment horizontal="right" vertical="center"/>
    </xf>
    <xf numFmtId="0" fontId="53" fillId="2" borderId="0" xfId="3" applyFont="1" applyFill="1"/>
    <xf numFmtId="0" fontId="14" fillId="0" borderId="17" xfId="7" applyFont="1" applyBorder="1" applyAlignment="1">
      <alignment horizontal="center" vertical="center" wrapText="1"/>
    </xf>
    <xf numFmtId="0" fontId="14" fillId="0" borderId="17" xfId="3" applyFont="1" applyBorder="1" applyAlignment="1">
      <alignment horizontal="center" vertical="center"/>
    </xf>
    <xf numFmtId="0" fontId="14" fillId="0" borderId="17" xfId="7" applyFont="1" applyBorder="1" applyAlignment="1">
      <alignment horizontal="left" vertical="center" wrapText="1"/>
    </xf>
    <xf numFmtId="165" fontId="14" fillId="2" borderId="17" xfId="3" applyNumberFormat="1" applyFont="1" applyFill="1" applyBorder="1" applyAlignment="1">
      <alignment vertical="center"/>
    </xf>
    <xf numFmtId="165" fontId="14" fillId="2" borderId="29" xfId="3" applyNumberFormat="1" applyFont="1" applyFill="1" applyBorder="1" applyAlignment="1">
      <alignment vertical="center"/>
    </xf>
    <xf numFmtId="0" fontId="29" fillId="2" borderId="17" xfId="3" applyFont="1" applyFill="1" applyBorder="1" applyAlignment="1">
      <alignment horizontal="center" vertical="center"/>
    </xf>
    <xf numFmtId="0" fontId="29" fillId="0" borderId="17" xfId="3" applyFont="1" applyBorder="1" applyAlignment="1">
      <alignment horizontal="center" vertical="center"/>
    </xf>
    <xf numFmtId="0" fontId="29" fillId="0" borderId="17" xfId="7" applyFont="1" applyBorder="1" applyAlignment="1">
      <alignment horizontal="center" vertical="center" wrapText="1"/>
    </xf>
    <xf numFmtId="0" fontId="29" fillId="0" borderId="17" xfId="7" applyFont="1" applyBorder="1" applyAlignment="1">
      <alignment horizontal="left" vertical="center" wrapText="1"/>
    </xf>
    <xf numFmtId="165" fontId="29" fillId="3" borderId="17" xfId="3" applyNumberFormat="1" applyFont="1" applyFill="1" applyBorder="1" applyAlignment="1">
      <alignment vertical="center"/>
    </xf>
    <xf numFmtId="165" fontId="29" fillId="3" borderId="17" xfId="3" applyNumberFormat="1" applyFont="1" applyFill="1" applyBorder="1" applyAlignment="1">
      <alignment horizontal="right" vertical="center"/>
    </xf>
    <xf numFmtId="165" fontId="29" fillId="3" borderId="29" xfId="3" applyNumberFormat="1" applyFont="1" applyFill="1" applyBorder="1" applyAlignment="1">
      <alignment horizontal="right" vertical="center"/>
    </xf>
    <xf numFmtId="3" fontId="16" fillId="2" borderId="2" xfId="6" applyNumberFormat="1" applyFont="1" applyFill="1" applyBorder="1" applyAlignment="1">
      <alignment horizontal="right" vertical="center"/>
    </xf>
    <xf numFmtId="0" fontId="16" fillId="2" borderId="17" xfId="6" quotePrefix="1" applyFont="1" applyFill="1" applyBorder="1" applyAlignment="1">
      <alignment horizontal="center" vertical="center"/>
    </xf>
    <xf numFmtId="0" fontId="16" fillId="2" borderId="17" xfId="6" quotePrefix="1" applyFont="1" applyFill="1" applyBorder="1" applyAlignment="1">
      <alignment horizontal="left" vertical="center"/>
    </xf>
    <xf numFmtId="0" fontId="16" fillId="2" borderId="17" xfId="6" quotePrefix="1" applyFont="1" applyFill="1" applyBorder="1" applyAlignment="1">
      <alignment horizontal="right" vertical="center"/>
    </xf>
    <xf numFmtId="0" fontId="16" fillId="2" borderId="17" xfId="6" quotePrefix="1" applyFont="1" applyFill="1" applyBorder="1" applyAlignment="1">
      <alignment horizontal="left" vertical="center" wrapText="1"/>
    </xf>
    <xf numFmtId="165" fontId="16" fillId="2" borderId="17" xfId="6" quotePrefix="1" applyNumberFormat="1" applyFont="1" applyFill="1" applyBorder="1" applyAlignment="1">
      <alignment horizontal="right" vertical="center" wrapText="1"/>
    </xf>
    <xf numFmtId="165" fontId="16" fillId="2" borderId="29" xfId="6" quotePrefix="1" applyNumberFormat="1" applyFont="1" applyFill="1" applyBorder="1" applyAlignment="1">
      <alignment horizontal="right" vertical="center" wrapText="1"/>
    </xf>
    <xf numFmtId="0" fontId="14" fillId="2" borderId="17" xfId="3" applyFont="1" applyFill="1" applyBorder="1" applyAlignment="1">
      <alignment horizontal="left" vertical="center"/>
    </xf>
    <xf numFmtId="0" fontId="57" fillId="2" borderId="17" xfId="3" applyFont="1" applyFill="1" applyBorder="1"/>
    <xf numFmtId="0" fontId="14" fillId="2" borderId="17" xfId="3" applyFont="1" applyFill="1" applyBorder="1" applyAlignment="1">
      <alignment vertical="center" wrapText="1"/>
    </xf>
    <xf numFmtId="165" fontId="14" fillId="2" borderId="17" xfId="3" applyNumberFormat="1" applyFont="1" applyFill="1" applyBorder="1" applyAlignment="1">
      <alignment vertical="center" wrapText="1"/>
    </xf>
    <xf numFmtId="165" fontId="14" fillId="2" borderId="29" xfId="3" applyNumberFormat="1" applyFont="1" applyFill="1" applyBorder="1" applyAlignment="1">
      <alignment vertical="center" wrapText="1"/>
    </xf>
    <xf numFmtId="0" fontId="14" fillId="2" borderId="17" xfId="3" applyFont="1" applyFill="1" applyBorder="1" applyAlignment="1">
      <alignment horizontal="center" vertical="center" wrapText="1"/>
    </xf>
    <xf numFmtId="3" fontId="14" fillId="2" borderId="17" xfId="3" applyNumberFormat="1" applyFont="1" applyFill="1" applyBorder="1" applyAlignment="1">
      <alignment vertical="center" wrapText="1"/>
    </xf>
    <xf numFmtId="0" fontId="29" fillId="2" borderId="17" xfId="3" applyFont="1" applyFill="1" applyBorder="1" applyAlignment="1">
      <alignment horizontal="center" vertical="center" wrapText="1"/>
    </xf>
    <xf numFmtId="0" fontId="53" fillId="2" borderId="17" xfId="3" applyFont="1" applyFill="1" applyBorder="1"/>
    <xf numFmtId="3" fontId="29" fillId="2" borderId="17" xfId="3" applyNumberFormat="1" applyFont="1" applyFill="1" applyBorder="1" applyAlignment="1">
      <alignment vertical="center" wrapText="1"/>
    </xf>
    <xf numFmtId="165" fontId="29" fillId="2" borderId="17" xfId="3" applyNumberFormat="1" applyFont="1" applyFill="1" applyBorder="1" applyAlignment="1">
      <alignment vertical="center" wrapText="1"/>
    </xf>
    <xf numFmtId="165" fontId="29" fillId="2" borderId="17" xfId="3" applyNumberFormat="1" applyFont="1" applyFill="1" applyBorder="1" applyAlignment="1">
      <alignment horizontal="right" vertical="center"/>
    </xf>
    <xf numFmtId="165" fontId="29" fillId="2" borderId="29" xfId="3" applyNumberFormat="1" applyFont="1" applyFill="1" applyBorder="1" applyAlignment="1">
      <alignment horizontal="right" vertical="center"/>
    </xf>
    <xf numFmtId="3" fontId="29" fillId="2" borderId="2" xfId="6" applyNumberFormat="1" applyFont="1" applyFill="1" applyBorder="1" applyAlignment="1">
      <alignment horizontal="right" vertical="center"/>
    </xf>
    <xf numFmtId="0" fontId="61" fillId="0" borderId="0" xfId="3" applyFont="1"/>
    <xf numFmtId="0" fontId="10" fillId="0" borderId="0" xfId="3" applyFont="1" applyAlignment="1">
      <alignment horizontal="center" vertical="center"/>
    </xf>
    <xf numFmtId="0" fontId="10" fillId="0" borderId="15" xfId="3" applyFont="1" applyBorder="1" applyAlignment="1">
      <alignment horizontal="center" vertical="center"/>
    </xf>
    <xf numFmtId="0" fontId="33" fillId="0" borderId="16" xfId="3" applyFont="1" applyBorder="1"/>
    <xf numFmtId="3" fontId="33" fillId="0" borderId="16" xfId="3" applyNumberFormat="1" applyFont="1" applyBorder="1"/>
    <xf numFmtId="3" fontId="10" fillId="4" borderId="2" xfId="3" applyNumberFormat="1" applyFont="1" applyFill="1" applyBorder="1" applyAlignment="1">
      <alignment horizontal="center" vertical="center"/>
    </xf>
    <xf numFmtId="3" fontId="33" fillId="4" borderId="10" xfId="3" applyNumberFormat="1" applyFont="1" applyFill="1" applyBorder="1" applyAlignment="1">
      <alignment horizontal="center" vertical="center" wrapText="1"/>
    </xf>
    <xf numFmtId="0" fontId="10" fillId="10" borderId="2" xfId="3" applyFont="1" applyFill="1" applyBorder="1" applyAlignment="1">
      <alignment horizontal="center" vertical="center"/>
    </xf>
    <xf numFmtId="0" fontId="10" fillId="10" borderId="2" xfId="3" applyFont="1" applyFill="1" applyBorder="1" applyAlignment="1">
      <alignment horizontal="center" vertical="center" wrapText="1"/>
    </xf>
    <xf numFmtId="165" fontId="10" fillId="10" borderId="2" xfId="3" applyNumberFormat="1" applyFont="1" applyFill="1" applyBorder="1" applyAlignment="1">
      <alignment horizontal="right" vertical="center"/>
    </xf>
    <xf numFmtId="0" fontId="10" fillId="0" borderId="2" xfId="3" applyFont="1" applyBorder="1" applyAlignment="1">
      <alignment horizontal="center" vertical="center"/>
    </xf>
    <xf numFmtId="0" fontId="10" fillId="9" borderId="2" xfId="3" applyFont="1" applyFill="1" applyBorder="1" applyAlignment="1">
      <alignment horizontal="center" vertical="center" wrapText="1"/>
    </xf>
    <xf numFmtId="0" fontId="10" fillId="9" borderId="2" xfId="3" applyFont="1" applyFill="1" applyBorder="1" applyAlignment="1">
      <alignment horizontal="left" vertical="center"/>
    </xf>
    <xf numFmtId="165" fontId="10" fillId="9" borderId="2" xfId="3" applyNumberFormat="1" applyFont="1" applyFill="1" applyBorder="1" applyAlignment="1">
      <alignment horizontal="right" vertical="center"/>
    </xf>
    <xf numFmtId="0" fontId="10" fillId="0" borderId="2" xfId="3" applyFont="1" applyBorder="1" applyAlignment="1">
      <alignment horizontal="left" vertical="center" wrapText="1"/>
    </xf>
    <xf numFmtId="165" fontId="10" fillId="0" borderId="2" xfId="3" applyNumberFormat="1" applyFont="1" applyBorder="1" applyAlignment="1">
      <alignment horizontal="right" vertical="center"/>
    </xf>
    <xf numFmtId="0" fontId="33" fillId="0" borderId="2" xfId="3" applyFont="1" applyBorder="1" applyAlignment="1">
      <alignment horizontal="center" vertical="center" wrapText="1"/>
    </xf>
    <xf numFmtId="0" fontId="33" fillId="0" borderId="2" xfId="3" applyFont="1" applyBorder="1" applyAlignment="1">
      <alignment horizontal="left" vertical="center"/>
    </xf>
    <xf numFmtId="165" fontId="33" fillId="0" borderId="2" xfId="3" applyNumberFormat="1" applyFont="1" applyBorder="1"/>
    <xf numFmtId="165" fontId="33" fillId="0" borderId="2" xfId="3" applyNumberFormat="1" applyFont="1" applyBorder="1" applyAlignment="1">
      <alignment horizontal="right" vertical="center"/>
    </xf>
    <xf numFmtId="0" fontId="10" fillId="0" borderId="2" xfId="3" applyFont="1" applyBorder="1" applyAlignment="1">
      <alignment horizontal="left" vertical="center"/>
    </xf>
    <xf numFmtId="0" fontId="33" fillId="0" borderId="2" xfId="3" applyFont="1" applyBorder="1" applyAlignment="1">
      <alignment horizontal="center" vertical="center"/>
    </xf>
    <xf numFmtId="0" fontId="33" fillId="0" borderId="2" xfId="3" applyFont="1" applyBorder="1"/>
    <xf numFmtId="0" fontId="10" fillId="0" borderId="2" xfId="3" applyFont="1" applyBorder="1"/>
    <xf numFmtId="165" fontId="10" fillId="0" borderId="2" xfId="3" applyNumberFormat="1" applyFont="1" applyBorder="1"/>
    <xf numFmtId="0" fontId="10" fillId="0" borderId="2" xfId="3" applyFont="1" applyBorder="1" applyAlignment="1">
      <alignment vertical="center" wrapText="1"/>
    </xf>
    <xf numFmtId="0" fontId="33" fillId="0" borderId="2" xfId="3" applyFont="1" applyBorder="1" applyAlignment="1">
      <alignment wrapText="1"/>
    </xf>
    <xf numFmtId="0" fontId="10" fillId="0" borderId="2" xfId="3" applyFont="1" applyBorder="1" applyAlignment="1">
      <alignment wrapText="1"/>
    </xf>
    <xf numFmtId="0" fontId="10" fillId="9" borderId="2" xfId="3" applyFont="1" applyFill="1" applyBorder="1" applyAlignment="1">
      <alignment horizontal="center" vertical="center"/>
    </xf>
    <xf numFmtId="0" fontId="10" fillId="9" borderId="2" xfId="3" applyFont="1" applyFill="1" applyBorder="1"/>
    <xf numFmtId="165" fontId="10" fillId="9" borderId="2" xfId="3" applyNumberFormat="1" applyFont="1" applyFill="1" applyBorder="1"/>
    <xf numFmtId="49" fontId="10" fillId="7" borderId="2" xfId="3" applyNumberFormat="1" applyFont="1" applyFill="1" applyBorder="1" applyAlignment="1">
      <alignment horizontal="left" vertical="center" wrapText="1"/>
    </xf>
    <xf numFmtId="49" fontId="10" fillId="10" borderId="2" xfId="3" applyNumberFormat="1" applyFont="1" applyFill="1" applyBorder="1" applyAlignment="1">
      <alignment horizontal="left" vertical="center" wrapText="1"/>
    </xf>
    <xf numFmtId="165" fontId="10" fillId="10" borderId="2" xfId="3" applyNumberFormat="1" applyFont="1" applyFill="1" applyBorder="1"/>
    <xf numFmtId="49" fontId="10" fillId="9" borderId="2" xfId="3" applyNumberFormat="1" applyFont="1" applyFill="1" applyBorder="1" applyAlignment="1">
      <alignment horizontal="left" vertical="center" wrapText="1"/>
    </xf>
    <xf numFmtId="0" fontId="10" fillId="12" borderId="10" xfId="3" applyFont="1" applyFill="1" applyBorder="1" applyAlignment="1">
      <alignment horizontal="center" vertical="center"/>
    </xf>
    <xf numFmtId="165" fontId="10" fillId="12" borderId="2" xfId="3" applyNumberFormat="1" applyFont="1" applyFill="1" applyBorder="1"/>
    <xf numFmtId="0" fontId="33" fillId="0" borderId="0" xfId="3" applyFont="1"/>
    <xf numFmtId="3" fontId="33" fillId="0" borderId="0" xfId="3" applyNumberFormat="1" applyFont="1"/>
    <xf numFmtId="0" fontId="62" fillId="0" borderId="10" xfId="3" applyFont="1" applyBorder="1" applyAlignment="1">
      <alignment horizontal="center"/>
    </xf>
    <xf numFmtId="3" fontId="62" fillId="0" borderId="2" xfId="3" applyNumberFormat="1" applyFont="1" applyBorder="1" applyAlignment="1">
      <alignment horizontal="center"/>
    </xf>
    <xf numFmtId="0" fontId="10" fillId="10" borderId="2" xfId="3" applyFont="1" applyFill="1" applyBorder="1"/>
    <xf numFmtId="0" fontId="10" fillId="13" borderId="2" xfId="3" applyFont="1" applyFill="1" applyBorder="1"/>
    <xf numFmtId="165" fontId="10" fillId="13" borderId="2" xfId="3" applyNumberFormat="1" applyFont="1" applyFill="1" applyBorder="1"/>
    <xf numFmtId="0" fontId="53" fillId="0" borderId="2" xfId="3" applyFont="1" applyBorder="1"/>
    <xf numFmtId="0" fontId="57" fillId="0" borderId="2" xfId="3" applyFont="1" applyBorder="1"/>
    <xf numFmtId="0" fontId="10" fillId="0" borderId="2" xfId="3" applyFont="1" applyBorder="1" applyAlignment="1">
      <alignment horizontal="right"/>
    </xf>
    <xf numFmtId="0" fontId="33" fillId="0" borderId="2" xfId="3" applyFont="1" applyBorder="1" applyAlignment="1">
      <alignment horizontal="right"/>
    </xf>
    <xf numFmtId="0" fontId="10" fillId="0" borderId="13" xfId="3" applyFont="1" applyBorder="1" applyAlignment="1">
      <alignment horizontal="center" vertical="center"/>
    </xf>
    <xf numFmtId="0" fontId="11" fillId="0" borderId="2" xfId="3" applyFont="1" applyBorder="1"/>
    <xf numFmtId="165" fontId="11" fillId="0" borderId="2" xfId="3" applyNumberFormat="1" applyFont="1" applyBorder="1"/>
    <xf numFmtId="165" fontId="33" fillId="0" borderId="0" xfId="3" applyNumberFormat="1" applyFont="1"/>
    <xf numFmtId="0" fontId="63" fillId="0" borderId="0" xfId="0" applyFont="1"/>
    <xf numFmtId="0" fontId="64" fillId="0" borderId="0" xfId="3" applyFont="1" applyAlignment="1">
      <alignment horizontal="center" vertical="center"/>
    </xf>
    <xf numFmtId="166" fontId="10" fillId="10" borderId="2" xfId="3" applyNumberFormat="1" applyFont="1" applyFill="1" applyBorder="1" applyAlignment="1">
      <alignment horizontal="right" vertical="center"/>
    </xf>
    <xf numFmtId="166" fontId="10" fillId="9" borderId="2" xfId="3" applyNumberFormat="1" applyFont="1" applyFill="1" applyBorder="1" applyAlignment="1">
      <alignment horizontal="right" vertical="center"/>
    </xf>
    <xf numFmtId="0" fontId="11" fillId="0" borderId="0" xfId="0" applyFont="1"/>
    <xf numFmtId="0" fontId="65" fillId="0" borderId="0" xfId="0" applyFont="1"/>
    <xf numFmtId="166" fontId="10" fillId="0" borderId="2" xfId="3" applyNumberFormat="1" applyFont="1" applyBorder="1" applyAlignment="1">
      <alignment horizontal="right" vertical="center"/>
    </xf>
    <xf numFmtId="165" fontId="33" fillId="0" borderId="2" xfId="3" applyNumberFormat="1" applyFont="1" applyBorder="1" applyAlignment="1">
      <alignment vertical="center"/>
    </xf>
    <xf numFmtId="166" fontId="33" fillId="0" borderId="2" xfId="3" applyNumberFormat="1" applyFont="1" applyBorder="1" applyAlignment="1">
      <alignment vertical="center"/>
    </xf>
    <xf numFmtId="0" fontId="10" fillId="0" borderId="2" xfId="3" applyFont="1" applyBorder="1" applyAlignment="1">
      <alignment vertical="center"/>
    </xf>
    <xf numFmtId="0" fontId="33" fillId="0" borderId="2" xfId="3" applyFont="1" applyBorder="1" applyAlignment="1">
      <alignment vertical="center"/>
    </xf>
    <xf numFmtId="165" fontId="10" fillId="0" borderId="2" xfId="3" applyNumberFormat="1" applyFont="1" applyBorder="1" applyAlignment="1">
      <alignment vertical="center"/>
    </xf>
    <xf numFmtId="166" fontId="10" fillId="0" borderId="2" xfId="3" applyNumberFormat="1" applyFont="1" applyBorder="1" applyAlignment="1">
      <alignment vertical="center"/>
    </xf>
    <xf numFmtId="0" fontId="50" fillId="0" borderId="0" xfId="0" applyFont="1" applyAlignment="1">
      <alignment vertical="center"/>
    </xf>
    <xf numFmtId="49" fontId="33" fillId="4" borderId="2" xfId="3" applyNumberFormat="1" applyFont="1" applyFill="1" applyBorder="1" applyAlignment="1">
      <alignment horizontal="left" vertical="center" wrapText="1"/>
    </xf>
    <xf numFmtId="0" fontId="33" fillId="0" borderId="2" xfId="3" applyFont="1" applyBorder="1" applyAlignment="1">
      <alignment vertical="center" wrapText="1"/>
    </xf>
    <xf numFmtId="0" fontId="10" fillId="9" borderId="2" xfId="3" applyFont="1" applyFill="1" applyBorder="1" applyAlignment="1">
      <alignment vertical="center"/>
    </xf>
    <xf numFmtId="165" fontId="10" fillId="9" borderId="2" xfId="3" applyNumberFormat="1" applyFont="1" applyFill="1" applyBorder="1" applyAlignment="1">
      <alignment vertical="center"/>
    </xf>
    <xf numFmtId="166" fontId="10" fillId="9" borderId="2" xfId="3" applyNumberFormat="1" applyFont="1" applyFill="1" applyBorder="1" applyAlignment="1">
      <alignment vertical="center"/>
    </xf>
    <xf numFmtId="0" fontId="10" fillId="2" borderId="2" xfId="3" applyFont="1" applyFill="1" applyBorder="1" applyAlignment="1">
      <alignment horizontal="center" vertical="center"/>
    </xf>
    <xf numFmtId="0" fontId="10" fillId="2" borderId="2" xfId="3" applyFont="1" applyFill="1" applyBorder="1" applyAlignment="1">
      <alignment vertical="center"/>
    </xf>
    <xf numFmtId="165" fontId="10" fillId="2" borderId="2" xfId="3" applyNumberFormat="1" applyFont="1" applyFill="1" applyBorder="1" applyAlignment="1">
      <alignment vertical="center"/>
    </xf>
    <xf numFmtId="166" fontId="10" fillId="2" borderId="2" xfId="3" applyNumberFormat="1" applyFont="1" applyFill="1" applyBorder="1" applyAlignment="1">
      <alignment vertical="center"/>
    </xf>
    <xf numFmtId="0" fontId="33" fillId="2" borderId="2" xfId="3" applyFont="1" applyFill="1" applyBorder="1" applyAlignment="1">
      <alignment horizontal="center" vertical="center"/>
    </xf>
    <xf numFmtId="0" fontId="33" fillId="2" borderId="2" xfId="3" applyFont="1" applyFill="1" applyBorder="1" applyAlignment="1">
      <alignment vertical="center"/>
    </xf>
    <xf numFmtId="165" fontId="33" fillId="2" borderId="2" xfId="3" applyNumberFormat="1" applyFont="1" applyFill="1" applyBorder="1" applyAlignment="1">
      <alignment vertical="center"/>
    </xf>
    <xf numFmtId="166" fontId="33" fillId="2" borderId="2" xfId="3" applyNumberFormat="1" applyFont="1" applyFill="1" applyBorder="1" applyAlignment="1">
      <alignment vertical="center"/>
    </xf>
    <xf numFmtId="165" fontId="10" fillId="10" borderId="2" xfId="3" applyNumberFormat="1" applyFont="1" applyFill="1" applyBorder="1" applyAlignment="1">
      <alignment vertical="center"/>
    </xf>
    <xf numFmtId="166" fontId="10" fillId="10" borderId="2" xfId="3" applyNumberFormat="1" applyFont="1" applyFill="1" applyBorder="1" applyAlignment="1">
      <alignment vertical="center"/>
    </xf>
    <xf numFmtId="0" fontId="33" fillId="0" borderId="10" xfId="3" applyFont="1" applyBorder="1" applyAlignment="1">
      <alignment vertical="center"/>
    </xf>
    <xf numFmtId="165" fontId="10" fillId="12" borderId="2" xfId="3" applyNumberFormat="1" applyFont="1" applyFill="1" applyBorder="1" applyAlignment="1">
      <alignment vertical="center"/>
    </xf>
    <xf numFmtId="166" fontId="10" fillId="12" borderId="2" xfId="3" applyNumberFormat="1" applyFont="1" applyFill="1" applyBorder="1" applyAlignment="1">
      <alignment vertical="center"/>
    </xf>
    <xf numFmtId="4" fontId="28" fillId="0" borderId="2" xfId="3" applyNumberFormat="1" applyFont="1" applyBorder="1" applyAlignment="1">
      <alignment horizontal="right" vertical="center"/>
    </xf>
    <xf numFmtId="4" fontId="27" fillId="6" borderId="2" xfId="3" applyNumberFormat="1" applyFont="1" applyFill="1" applyBorder="1" applyAlignment="1">
      <alignment horizontal="right" vertical="center" wrapText="1"/>
    </xf>
    <xf numFmtId="4" fontId="27" fillId="7" borderId="2" xfId="3" applyNumberFormat="1" applyFont="1" applyFill="1" applyBorder="1" applyAlignment="1">
      <alignment horizontal="right" vertical="center"/>
    </xf>
    <xf numFmtId="4" fontId="27" fillId="3" borderId="2" xfId="3" applyNumberFormat="1" applyFont="1" applyFill="1" applyBorder="1" applyAlignment="1">
      <alignment horizontal="right" vertical="center"/>
    </xf>
    <xf numFmtId="4" fontId="28" fillId="3" borderId="2" xfId="3" applyNumberFormat="1" applyFont="1" applyFill="1" applyBorder="1" applyAlignment="1">
      <alignment horizontal="right" vertical="center"/>
    </xf>
    <xf numFmtId="4" fontId="24" fillId="8" borderId="2" xfId="3" applyNumberFormat="1" applyFont="1" applyFill="1" applyBorder="1" applyAlignment="1">
      <alignment horizontal="right" vertical="center"/>
    </xf>
    <xf numFmtId="4" fontId="27" fillId="0" borderId="2" xfId="3" applyNumberFormat="1" applyFont="1" applyBorder="1" applyAlignment="1">
      <alignment horizontal="right" vertical="center"/>
    </xf>
    <xf numFmtId="4" fontId="27" fillId="4" borderId="2" xfId="3" applyNumberFormat="1" applyFont="1" applyFill="1" applyBorder="1" applyAlignment="1">
      <alignment horizontal="right" vertical="center"/>
    </xf>
    <xf numFmtId="4" fontId="28" fillId="4" borderId="2" xfId="3" applyNumberFormat="1" applyFont="1" applyFill="1" applyBorder="1" applyAlignment="1">
      <alignment horizontal="right" vertical="center"/>
    </xf>
    <xf numFmtId="4" fontId="27" fillId="9" borderId="2" xfId="3" applyNumberFormat="1" applyFont="1" applyFill="1" applyBorder="1" applyAlignment="1">
      <alignment horizontal="right" vertical="center"/>
    </xf>
    <xf numFmtId="4" fontId="27" fillId="7" borderId="2" xfId="3" applyNumberFormat="1" applyFont="1" applyFill="1" applyBorder="1" applyAlignment="1">
      <alignment horizontal="right" vertical="center" wrapText="1"/>
    </xf>
    <xf numFmtId="4" fontId="27" fillId="4" borderId="2" xfId="3" applyNumberFormat="1" applyFont="1" applyFill="1" applyBorder="1" applyAlignment="1">
      <alignment horizontal="right" vertical="center" wrapText="1"/>
    </xf>
    <xf numFmtId="4" fontId="28" fillId="4" borderId="2" xfId="3" applyNumberFormat="1" applyFont="1" applyFill="1" applyBorder="1" applyAlignment="1">
      <alignment horizontal="right" vertical="center" wrapText="1"/>
    </xf>
    <xf numFmtId="4" fontId="27" fillId="10" borderId="2" xfId="3" applyNumberFormat="1" applyFont="1" applyFill="1" applyBorder="1" applyAlignment="1">
      <alignment horizontal="right" vertical="center"/>
    </xf>
    <xf numFmtId="4" fontId="27" fillId="0" borderId="4" xfId="3" applyNumberFormat="1" applyFont="1" applyBorder="1" applyAlignment="1">
      <alignment horizontal="right" vertical="center"/>
    </xf>
    <xf numFmtId="4" fontId="28" fillId="0" borderId="4" xfId="3" applyNumberFormat="1" applyFont="1" applyBorder="1" applyAlignment="1">
      <alignment horizontal="right" vertical="center"/>
    </xf>
    <xf numFmtId="4" fontId="24" fillId="8" borderId="4" xfId="3" applyNumberFormat="1" applyFont="1" applyFill="1" applyBorder="1" applyAlignment="1">
      <alignment horizontal="right" vertical="center"/>
    </xf>
    <xf numFmtId="4" fontId="14" fillId="4" borderId="27" xfId="3" applyNumberFormat="1" applyFont="1" applyFill="1" applyBorder="1" applyAlignment="1">
      <alignment horizontal="right" vertical="center"/>
    </xf>
    <xf numFmtId="4" fontId="27" fillId="0" borderId="9" xfId="3" applyNumberFormat="1" applyFont="1" applyBorder="1" applyAlignment="1">
      <alignment horizontal="right" vertical="center"/>
    </xf>
    <xf numFmtId="4" fontId="27" fillId="6" borderId="9" xfId="4" applyNumberFormat="1" applyFont="1" applyFill="1" applyBorder="1" applyAlignment="1">
      <alignment horizontal="center" vertical="center" wrapText="1"/>
    </xf>
    <xf numFmtId="4" fontId="21" fillId="3" borderId="9" xfId="4" applyNumberFormat="1" applyFont="1" applyFill="1" applyBorder="1" applyAlignment="1">
      <alignment horizontal="center" vertical="center" wrapText="1"/>
    </xf>
    <xf numFmtId="4" fontId="27" fillId="6" borderId="9" xfId="3" applyNumberFormat="1" applyFont="1" applyFill="1" applyBorder="1" applyAlignment="1">
      <alignment horizontal="right" vertical="center" wrapText="1"/>
    </xf>
    <xf numFmtId="4" fontId="27" fillId="4" borderId="2" xfId="3" applyNumberFormat="1" applyFont="1" applyFill="1" applyBorder="1" applyAlignment="1">
      <alignment vertical="center"/>
    </xf>
    <xf numFmtId="4" fontId="24" fillId="5" borderId="2" xfId="3" applyNumberFormat="1" applyFont="1" applyFill="1" applyBorder="1" applyAlignment="1">
      <alignment horizontal="right" vertical="center" wrapText="1"/>
    </xf>
    <xf numFmtId="4" fontId="28" fillId="4" borderId="2" xfId="3" applyNumberFormat="1" applyFont="1" applyFill="1" applyBorder="1" applyAlignment="1">
      <alignment vertical="center"/>
    </xf>
    <xf numFmtId="4" fontId="42" fillId="9" borderId="2" xfId="3" applyNumberFormat="1" applyFont="1" applyFill="1" applyBorder="1" applyAlignment="1">
      <alignment horizontal="right" vertical="center"/>
    </xf>
    <xf numFmtId="4" fontId="42" fillId="0" borderId="2" xfId="3" applyNumberFormat="1" applyFont="1" applyBorder="1" applyAlignment="1">
      <alignment horizontal="right" vertical="center"/>
    </xf>
    <xf numFmtId="4" fontId="43" fillId="0" borderId="2" xfId="3" applyNumberFormat="1" applyFont="1" applyBorder="1" applyAlignment="1">
      <alignment horizontal="right" vertical="center"/>
    </xf>
    <xf numFmtId="4" fontId="24" fillId="8" borderId="2" xfId="3" applyNumberFormat="1" applyFont="1" applyFill="1" applyBorder="1" applyAlignment="1">
      <alignment horizontal="right" vertical="center" wrapText="1"/>
    </xf>
    <xf numFmtId="4" fontId="45" fillId="6" borderId="2" xfId="3" applyNumberFormat="1" applyFont="1" applyFill="1" applyBorder="1" applyAlignment="1">
      <alignment horizontal="right" vertical="center" wrapText="1"/>
    </xf>
    <xf numFmtId="4" fontId="27" fillId="0" borderId="2" xfId="3" applyNumberFormat="1" applyFont="1" applyBorder="1" applyAlignment="1">
      <alignment vertical="center"/>
    </xf>
    <xf numFmtId="4" fontId="27" fillId="7" borderId="2" xfId="3" applyNumberFormat="1" applyFont="1" applyFill="1" applyBorder="1" applyAlignment="1">
      <alignment vertical="center"/>
    </xf>
    <xf numFmtId="4" fontId="28" fillId="0" borderId="2" xfId="3" applyNumberFormat="1" applyFont="1" applyBorder="1" applyAlignment="1">
      <alignment vertical="center"/>
    </xf>
    <xf numFmtId="4" fontId="27" fillId="6" borderId="2" xfId="3" applyNumberFormat="1" applyFont="1" applyFill="1" applyBorder="1" applyAlignment="1">
      <alignment vertical="center"/>
    </xf>
    <xf numFmtId="4" fontId="27" fillId="6" borderId="2" xfId="3" applyNumberFormat="1" applyFont="1" applyFill="1" applyBorder="1" applyAlignment="1">
      <alignment horizontal="right" vertical="center"/>
    </xf>
    <xf numFmtId="4" fontId="40" fillId="10" borderId="2" xfId="3" applyNumberFormat="1" applyFont="1" applyFill="1" applyBorder="1" applyAlignment="1">
      <alignment horizontal="right" vertical="center"/>
    </xf>
    <xf numFmtId="4" fontId="40" fillId="9" borderId="2" xfId="3" applyNumberFormat="1" applyFont="1" applyFill="1" applyBorder="1" applyAlignment="1">
      <alignment horizontal="right" vertical="center"/>
    </xf>
    <xf numFmtId="4" fontId="40" fillId="0" borderId="2" xfId="3" applyNumberFormat="1" applyFont="1" applyBorder="1" applyAlignment="1">
      <alignment horizontal="right" vertical="center"/>
    </xf>
    <xf numFmtId="4" fontId="46" fillId="0" borderId="2" xfId="3" applyNumberFormat="1" applyFont="1" applyBorder="1" applyAlignment="1">
      <alignment horizontal="right" vertical="center"/>
    </xf>
    <xf numFmtId="4" fontId="47" fillId="6" borderId="2" xfId="3" applyNumberFormat="1" applyFont="1" applyFill="1" applyBorder="1" applyAlignment="1">
      <alignment horizontal="right" vertical="center"/>
    </xf>
    <xf numFmtId="4" fontId="27" fillId="4" borderId="4" xfId="3" applyNumberFormat="1" applyFont="1" applyFill="1" applyBorder="1" applyAlignment="1">
      <alignment horizontal="right" vertical="center"/>
    </xf>
    <xf numFmtId="4" fontId="28" fillId="4" borderId="4" xfId="3" applyNumberFormat="1" applyFont="1" applyFill="1" applyBorder="1" applyAlignment="1">
      <alignment horizontal="right" vertical="center"/>
    </xf>
    <xf numFmtId="4" fontId="28" fillId="7" borderId="4" xfId="3" applyNumberFormat="1" applyFont="1" applyFill="1" applyBorder="1" applyAlignment="1">
      <alignment horizontal="right" vertical="center"/>
    </xf>
    <xf numFmtId="4" fontId="14" fillId="4" borderId="8" xfId="3" applyNumberFormat="1" applyFont="1" applyFill="1" applyBorder="1" applyAlignment="1">
      <alignment vertical="center"/>
    </xf>
    <xf numFmtId="4" fontId="27" fillId="6" borderId="9" xfId="4" applyNumberFormat="1" applyFont="1" applyFill="1" applyBorder="1" applyAlignment="1">
      <alignment horizontal="right" vertical="center" wrapText="1"/>
    </xf>
    <xf numFmtId="167" fontId="18" fillId="6" borderId="21" xfId="3" applyNumberFormat="1" applyFont="1" applyFill="1" applyBorder="1" applyAlignment="1">
      <alignment horizontal="right" vertical="center" wrapText="1"/>
    </xf>
    <xf numFmtId="167" fontId="18" fillId="6" borderId="2" xfId="3" applyNumberFormat="1" applyFont="1" applyFill="1" applyBorder="1" applyAlignment="1">
      <alignment horizontal="right" vertical="center" wrapText="1"/>
    </xf>
    <xf numFmtId="167" fontId="27" fillId="0" borderId="21" xfId="8" applyNumberFormat="1" applyFont="1" applyBorder="1" applyAlignment="1">
      <alignment horizontal="right" vertical="center"/>
    </xf>
    <xf numFmtId="167" fontId="27" fillId="0" borderId="2" xfId="8" applyNumberFormat="1" applyFont="1" applyBorder="1" applyAlignment="1">
      <alignment horizontal="right" vertical="center"/>
    </xf>
    <xf numFmtId="167" fontId="28" fillId="0" borderId="21" xfId="8" applyNumberFormat="1" applyFont="1" applyBorder="1" applyAlignment="1">
      <alignment horizontal="right" vertical="center"/>
    </xf>
    <xf numFmtId="167" fontId="28" fillId="0" borderId="2" xfId="8" applyNumberFormat="1" applyFont="1" applyBorder="1" applyAlignment="1">
      <alignment horizontal="right" vertical="center"/>
    </xf>
    <xf numFmtId="167" fontId="27" fillId="0" borderId="22" xfId="8" applyNumberFormat="1" applyFont="1" applyBorder="1" applyAlignment="1">
      <alignment horizontal="right" vertical="center"/>
    </xf>
    <xf numFmtId="167" fontId="28" fillId="2" borderId="13" xfId="2" applyNumberFormat="1" applyFont="1" applyFill="1" applyBorder="1" applyAlignment="1">
      <alignment horizontal="right" vertical="center" wrapText="1"/>
    </xf>
    <xf numFmtId="167" fontId="28" fillId="2" borderId="2" xfId="2" applyNumberFormat="1" applyFont="1" applyFill="1" applyBorder="1" applyAlignment="1">
      <alignment horizontal="right" vertical="center" wrapText="1"/>
    </xf>
    <xf numFmtId="167" fontId="27" fillId="0" borderId="31" xfId="8" applyNumberFormat="1" applyFont="1" applyBorder="1" applyAlignment="1">
      <alignment horizontal="right" vertical="center"/>
    </xf>
    <xf numFmtId="165" fontId="10" fillId="0" borderId="33" xfId="3" applyNumberFormat="1" applyFont="1" applyBorder="1" applyAlignment="1">
      <alignment horizontal="right" vertical="center" wrapText="1"/>
    </xf>
    <xf numFmtId="165" fontId="9" fillId="0" borderId="2" xfId="3" applyNumberFormat="1" applyFont="1" applyBorder="1" applyAlignment="1">
      <alignment horizontal="right" vertical="center" wrapText="1"/>
    </xf>
    <xf numFmtId="0" fontId="10" fillId="0" borderId="22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4" fontId="14" fillId="4" borderId="34" xfId="3" applyNumberFormat="1" applyFont="1" applyFill="1" applyBorder="1" applyAlignment="1">
      <alignment horizontal="right" vertical="center"/>
    </xf>
    <xf numFmtId="4" fontId="14" fillId="4" borderId="34" xfId="3" applyNumberFormat="1" applyFont="1" applyFill="1" applyBorder="1" applyAlignment="1">
      <alignment vertical="center"/>
    </xf>
    <xf numFmtId="4" fontId="15" fillId="0" borderId="0" xfId="5" applyNumberFormat="1" applyFont="1" applyAlignment="1">
      <alignment horizontal="left"/>
    </xf>
    <xf numFmtId="3" fontId="16" fillId="0" borderId="0" xfId="5" applyNumberFormat="1" applyFont="1" applyAlignment="1">
      <alignment horizontal="left"/>
    </xf>
    <xf numFmtId="3" fontId="17" fillId="0" borderId="0" xfId="5" applyNumberFormat="1" applyFont="1" applyAlignment="1">
      <alignment vertical="center"/>
    </xf>
    <xf numFmtId="165" fontId="17" fillId="0" borderId="0" xfId="5" applyNumberFormat="1" applyFont="1" applyAlignment="1">
      <alignment vertical="center"/>
    </xf>
    <xf numFmtId="165" fontId="18" fillId="0" borderId="0" xfId="5" applyNumberFormat="1" applyFont="1" applyAlignment="1">
      <alignment horizontal="right" vertical="center"/>
    </xf>
    <xf numFmtId="2" fontId="18" fillId="0" borderId="0" xfId="5" applyNumberFormat="1" applyFont="1" applyAlignment="1">
      <alignment horizontal="right" vertical="center"/>
    </xf>
    <xf numFmtId="3" fontId="17" fillId="0" borderId="0" xfId="5" applyNumberFormat="1" applyFont="1"/>
    <xf numFmtId="0" fontId="14" fillId="0" borderId="2" xfId="5" applyFont="1" applyBorder="1" applyAlignment="1">
      <alignment horizontal="center" vertical="center" wrapText="1"/>
    </xf>
    <xf numFmtId="3" fontId="14" fillId="0" borderId="2" xfId="3" applyNumberFormat="1" applyFont="1" applyBorder="1" applyAlignment="1">
      <alignment horizontal="center" vertical="center" wrapText="1"/>
    </xf>
    <xf numFmtId="165" fontId="19" fillId="0" borderId="28" xfId="3" applyNumberFormat="1" applyFont="1" applyBorder="1" applyAlignment="1">
      <alignment horizontal="center" vertical="center" wrapText="1"/>
    </xf>
    <xf numFmtId="165" fontId="19" fillId="0" borderId="2" xfId="3" applyNumberFormat="1" applyFont="1" applyBorder="1" applyAlignment="1">
      <alignment horizontal="center" vertical="center" wrapText="1"/>
    </xf>
    <xf numFmtId="0" fontId="14" fillId="0" borderId="19" xfId="3" applyFont="1" applyBorder="1" applyAlignment="1">
      <alignment horizontal="center" vertical="center" wrapText="1"/>
    </xf>
    <xf numFmtId="0" fontId="19" fillId="0" borderId="2" xfId="3" applyFont="1" applyBorder="1" applyAlignment="1">
      <alignment horizontal="center" vertical="center" wrapText="1"/>
    </xf>
    <xf numFmtId="3" fontId="20" fillId="0" borderId="2" xfId="5" applyNumberFormat="1" applyFont="1" applyBorder="1" applyAlignment="1">
      <alignment horizontal="left" vertical="center"/>
    </xf>
    <xf numFmtId="0" fontId="20" fillId="0" borderId="2" xfId="5" applyFont="1" applyBorder="1" applyAlignment="1">
      <alignment horizontal="left" vertical="center" wrapText="1"/>
    </xf>
    <xf numFmtId="0" fontId="21" fillId="0" borderId="2" xfId="3" applyFont="1" applyBorder="1" applyAlignment="1">
      <alignment horizontal="center" vertical="center" wrapText="1"/>
    </xf>
    <xf numFmtId="0" fontId="21" fillId="0" borderId="2" xfId="4" applyNumberFormat="1" applyFont="1" applyFill="1" applyBorder="1" applyAlignment="1">
      <alignment horizontal="center" vertical="center" wrapText="1"/>
    </xf>
    <xf numFmtId="3" fontId="14" fillId="0" borderId="0" xfId="5" applyNumberFormat="1" applyFont="1"/>
    <xf numFmtId="3" fontId="26" fillId="0" borderId="0" xfId="5" applyNumberFormat="1" applyFont="1"/>
    <xf numFmtId="165" fontId="27" fillId="0" borderId="2" xfId="5" applyNumberFormat="1" applyFont="1" applyBorder="1" applyAlignment="1">
      <alignment horizontal="right" vertical="center" wrapText="1"/>
    </xf>
    <xf numFmtId="4" fontId="27" fillId="0" borderId="2" xfId="5" applyNumberFormat="1" applyFont="1" applyBorder="1" applyAlignment="1">
      <alignment horizontal="right" vertical="center" wrapText="1"/>
    </xf>
    <xf numFmtId="3" fontId="14" fillId="0" borderId="0" xfId="5" applyNumberFormat="1" applyFont="1" applyAlignment="1">
      <alignment horizontal="center" vertical="center" wrapText="1"/>
    </xf>
    <xf numFmtId="165" fontId="28" fillId="0" borderId="2" xfId="0" applyNumberFormat="1" applyFont="1" applyBorder="1" applyAlignment="1">
      <alignment horizontal="right"/>
    </xf>
    <xf numFmtId="4" fontId="28" fillId="0" borderId="2" xfId="0" applyNumberFormat="1" applyFont="1" applyBorder="1" applyAlignment="1">
      <alignment horizontal="right"/>
    </xf>
    <xf numFmtId="3" fontId="29" fillId="0" borderId="0" xfId="5" applyNumberFormat="1" applyFont="1"/>
    <xf numFmtId="165" fontId="27" fillId="0" borderId="2" xfId="0" applyNumberFormat="1" applyFont="1" applyBorder="1" applyAlignment="1">
      <alignment horizontal="right"/>
    </xf>
    <xf numFmtId="4" fontId="27" fillId="0" borderId="2" xfId="0" applyNumberFormat="1" applyFont="1" applyBorder="1" applyAlignment="1">
      <alignment horizontal="right"/>
    </xf>
    <xf numFmtId="165" fontId="28" fillId="0" borderId="2" xfId="5" applyNumberFormat="1" applyFont="1" applyBorder="1" applyAlignment="1">
      <alignment horizontal="right" vertical="center" wrapText="1"/>
    </xf>
    <xf numFmtId="165" fontId="28" fillId="0" borderId="2" xfId="5" applyNumberFormat="1" applyFont="1" applyBorder="1" applyAlignment="1">
      <alignment horizontal="right" wrapText="1"/>
    </xf>
    <xf numFmtId="4" fontId="28" fillId="0" borderId="2" xfId="5" applyNumberFormat="1" applyFont="1" applyBorder="1" applyAlignment="1">
      <alignment horizontal="right" vertical="center" wrapText="1"/>
    </xf>
    <xf numFmtId="3" fontId="16" fillId="0" borderId="0" xfId="5" applyNumberFormat="1" applyFont="1"/>
    <xf numFmtId="165" fontId="27" fillId="0" borderId="2" xfId="5" applyNumberFormat="1" applyFont="1" applyBorder="1" applyAlignment="1">
      <alignment horizontal="right" wrapText="1"/>
    </xf>
    <xf numFmtId="4" fontId="27" fillId="0" borderId="2" xfId="5" applyNumberFormat="1" applyFont="1" applyBorder="1" applyAlignment="1">
      <alignment horizontal="right" wrapText="1"/>
    </xf>
    <xf numFmtId="165" fontId="28" fillId="0" borderId="2" xfId="0" applyNumberFormat="1" applyFont="1" applyBorder="1" applyAlignment="1">
      <alignment horizontal="right" vertical="center" wrapText="1"/>
    </xf>
    <xf numFmtId="4" fontId="28" fillId="0" borderId="2" xfId="0" applyNumberFormat="1" applyFont="1" applyBorder="1" applyAlignment="1">
      <alignment horizontal="right" vertical="center" wrapText="1"/>
    </xf>
    <xf numFmtId="49" fontId="27" fillId="0" borderId="2" xfId="5" applyNumberFormat="1" applyFont="1" applyBorder="1" applyAlignment="1">
      <alignment horizontal="left" vertical="center" wrapText="1"/>
    </xf>
    <xf numFmtId="49" fontId="28" fillId="0" borderId="2" xfId="5" applyNumberFormat="1" applyFont="1" applyBorder="1" applyAlignment="1">
      <alignment horizontal="left" vertical="center" wrapText="1"/>
    </xf>
    <xf numFmtId="166" fontId="28" fillId="0" borderId="0" xfId="5" applyNumberFormat="1" applyFont="1"/>
    <xf numFmtId="4" fontId="28" fillId="0" borderId="0" xfId="5" applyNumberFormat="1" applyFont="1"/>
    <xf numFmtId="165" fontId="28" fillId="0" borderId="2" xfId="0" applyNumberFormat="1" applyFont="1" applyBorder="1" applyAlignment="1">
      <alignment horizontal="right" vertical="center"/>
    </xf>
    <xf numFmtId="4" fontId="28" fillId="0" borderId="2" xfId="0" applyNumberFormat="1" applyFont="1" applyBorder="1" applyAlignment="1">
      <alignment horizontal="right" vertical="center"/>
    </xf>
    <xf numFmtId="165" fontId="27" fillId="0" borderId="2" xfId="0" applyNumberFormat="1" applyFont="1" applyBorder="1" applyAlignment="1">
      <alignment horizontal="right" vertical="center"/>
    </xf>
    <xf numFmtId="4" fontId="27" fillId="0" borderId="2" xfId="0" applyNumberFormat="1" applyFont="1" applyBorder="1" applyAlignment="1">
      <alignment horizontal="right" vertical="center"/>
    </xf>
    <xf numFmtId="49" fontId="27" fillId="0" borderId="2" xfId="5" applyNumberFormat="1" applyFont="1" applyBorder="1" applyAlignment="1">
      <alignment vertical="center" wrapText="1"/>
    </xf>
    <xf numFmtId="49" fontId="28" fillId="0" borderId="2" xfId="5" applyNumberFormat="1" applyFont="1" applyBorder="1" applyAlignment="1">
      <alignment vertical="center" wrapText="1"/>
    </xf>
    <xf numFmtId="3" fontId="29" fillId="0" borderId="0" xfId="5" applyNumberFormat="1" applyFont="1" applyAlignment="1">
      <alignment horizontal="center" vertical="center" wrapText="1"/>
    </xf>
    <xf numFmtId="3" fontId="30" fillId="0" borderId="0" xfId="5" applyNumberFormat="1" applyFont="1"/>
    <xf numFmtId="3" fontId="31" fillId="0" borderId="0" xfId="5" applyNumberFormat="1" applyFont="1"/>
    <xf numFmtId="4" fontId="14" fillId="0" borderId="0" xfId="5" applyNumberFormat="1" applyFont="1" applyAlignment="1">
      <alignment vertical="center"/>
    </xf>
    <xf numFmtId="3" fontId="14" fillId="0" borderId="0" xfId="5" applyNumberFormat="1" applyFont="1" applyAlignment="1">
      <alignment vertical="center"/>
    </xf>
    <xf numFmtId="3" fontId="29" fillId="0" borderId="0" xfId="5" applyNumberFormat="1" applyFont="1" applyAlignment="1">
      <alignment vertical="center"/>
    </xf>
    <xf numFmtId="3" fontId="16" fillId="0" borderId="0" xfId="5" applyNumberFormat="1" applyFont="1" applyAlignment="1">
      <alignment vertical="center"/>
    </xf>
    <xf numFmtId="165" fontId="28" fillId="0" borderId="2" xfId="5" applyNumberFormat="1" applyFont="1" applyBorder="1" applyAlignment="1">
      <alignment vertical="center" wrapText="1"/>
    </xf>
    <xf numFmtId="4" fontId="28" fillId="0" borderId="2" xfId="5" applyNumberFormat="1" applyFont="1" applyBorder="1" applyAlignment="1">
      <alignment vertical="center" wrapText="1"/>
    </xf>
    <xf numFmtId="3" fontId="28" fillId="0" borderId="0" xfId="5" applyNumberFormat="1" applyFont="1"/>
    <xf numFmtId="165" fontId="28" fillId="0" borderId="2" xfId="5" applyNumberFormat="1" applyFont="1" applyBorder="1" applyAlignment="1">
      <alignment horizontal="center" vertical="center" wrapText="1"/>
    </xf>
    <xf numFmtId="4" fontId="27" fillId="0" borderId="0" xfId="5" applyNumberFormat="1" applyFont="1"/>
    <xf numFmtId="3" fontId="27" fillId="0" borderId="0" xfId="5" applyNumberFormat="1" applyFont="1"/>
    <xf numFmtId="4" fontId="29" fillId="0" borderId="0" xfId="5" applyNumberFormat="1" applyFont="1"/>
    <xf numFmtId="3" fontId="15" fillId="0" borderId="0" xfId="5" applyNumberFormat="1" applyFont="1"/>
    <xf numFmtId="3" fontId="32" fillId="0" borderId="0" xfId="5" applyNumberFormat="1" applyFont="1"/>
    <xf numFmtId="3" fontId="33" fillId="0" borderId="0" xfId="5" applyNumberFormat="1" applyFont="1"/>
    <xf numFmtId="3" fontId="34" fillId="0" borderId="0" xfId="5" applyNumberFormat="1" applyFont="1"/>
    <xf numFmtId="0" fontId="27" fillId="0" borderId="2" xfId="0" applyFont="1" applyBorder="1" applyAlignment="1">
      <alignment vertical="center"/>
    </xf>
    <xf numFmtId="0" fontId="28" fillId="0" borderId="2" xfId="0" applyFont="1" applyBorder="1" applyAlignment="1">
      <alignment vertical="center"/>
    </xf>
    <xf numFmtId="3" fontId="24" fillId="0" borderId="0" xfId="5" applyNumberFormat="1" applyFont="1"/>
    <xf numFmtId="0" fontId="27" fillId="0" borderId="2" xfId="0" applyFont="1" applyBorder="1" applyAlignment="1">
      <alignment horizontal="right" wrapText="1"/>
    </xf>
    <xf numFmtId="0" fontId="27" fillId="0" borderId="2" xfId="0" applyFont="1" applyBorder="1" applyAlignment="1">
      <alignment wrapText="1"/>
    </xf>
    <xf numFmtId="3" fontId="29" fillId="0" borderId="2" xfId="5" applyNumberFormat="1" applyFont="1" applyBorder="1" applyAlignment="1">
      <alignment vertical="center"/>
    </xf>
    <xf numFmtId="165" fontId="29" fillId="0" borderId="2" xfId="5" applyNumberFormat="1" applyFont="1" applyBorder="1" applyAlignment="1">
      <alignment vertical="center"/>
    </xf>
    <xf numFmtId="4" fontId="29" fillId="0" borderId="2" xfId="5" applyNumberFormat="1" applyFont="1" applyBorder="1" applyAlignment="1">
      <alignment vertical="center"/>
    </xf>
    <xf numFmtId="165" fontId="29" fillId="0" borderId="0" xfId="5" applyNumberFormat="1" applyFont="1" applyAlignment="1">
      <alignment vertical="center"/>
    </xf>
    <xf numFmtId="165" fontId="28" fillId="0" borderId="0" xfId="5" applyNumberFormat="1" applyFont="1" applyAlignment="1">
      <alignment vertical="center"/>
    </xf>
    <xf numFmtId="2" fontId="28" fillId="0" borderId="0" xfId="5" applyNumberFormat="1" applyFont="1" applyAlignment="1">
      <alignment vertical="center"/>
    </xf>
    <xf numFmtId="49" fontId="24" fillId="8" borderId="2" xfId="5" applyNumberFormat="1" applyFont="1" applyFill="1" applyBorder="1" applyAlignment="1">
      <alignment horizontal="left" vertical="center"/>
    </xf>
    <xf numFmtId="49" fontId="24" fillId="8" borderId="2" xfId="5" applyNumberFormat="1" applyFont="1" applyFill="1" applyBorder="1" applyAlignment="1">
      <alignment vertical="center"/>
    </xf>
    <xf numFmtId="165" fontId="24" fillId="8" borderId="2" xfId="5" applyNumberFormat="1" applyFont="1" applyFill="1" applyBorder="1" applyAlignment="1">
      <alignment horizontal="right" vertical="center" wrapText="1"/>
    </xf>
    <xf numFmtId="4" fontId="24" fillId="8" borderId="2" xfId="5" applyNumberFormat="1" applyFont="1" applyFill="1" applyBorder="1" applyAlignment="1">
      <alignment horizontal="right" vertical="center" wrapText="1"/>
    </xf>
    <xf numFmtId="165" fontId="18" fillId="8" borderId="2" xfId="5" applyNumberFormat="1" applyFont="1" applyFill="1" applyBorder="1" applyAlignment="1">
      <alignment horizontal="right" vertical="center" wrapText="1"/>
    </xf>
    <xf numFmtId="4" fontId="18" fillId="8" borderId="2" xfId="5" applyNumberFormat="1" applyFont="1" applyFill="1" applyBorder="1" applyAlignment="1">
      <alignment horizontal="right" vertical="center" wrapText="1"/>
    </xf>
    <xf numFmtId="49" fontId="24" fillId="8" borderId="2" xfId="5" applyNumberFormat="1" applyFont="1" applyFill="1" applyBorder="1" applyAlignment="1">
      <alignment vertical="center" wrapText="1"/>
    </xf>
    <xf numFmtId="4" fontId="28" fillId="0" borderId="2" xfId="5" applyNumberFormat="1" applyFont="1" applyBorder="1"/>
    <xf numFmtId="3" fontId="24" fillId="8" borderId="2" xfId="5" applyNumberFormat="1" applyFont="1" applyFill="1" applyBorder="1" applyAlignment="1">
      <alignment horizontal="left" vertical="center"/>
    </xf>
    <xf numFmtId="49" fontId="24" fillId="8" borderId="2" xfId="5" applyNumberFormat="1" applyFont="1" applyFill="1" applyBorder="1" applyAlignment="1">
      <alignment horizontal="left" vertical="center" wrapText="1"/>
    </xf>
    <xf numFmtId="3" fontId="23" fillId="14" borderId="2" xfId="5" applyNumberFormat="1" applyFont="1" applyFill="1" applyBorder="1" applyAlignment="1">
      <alignment horizontal="left" vertical="center"/>
    </xf>
    <xf numFmtId="3" fontId="23" fillId="14" borderId="2" xfId="5" applyNumberFormat="1" applyFont="1" applyFill="1" applyBorder="1" applyAlignment="1">
      <alignment horizontal="left" vertical="center" wrapText="1"/>
    </xf>
    <xf numFmtId="165" fontId="17" fillId="14" borderId="2" xfId="5" applyNumberFormat="1" applyFont="1" applyFill="1" applyBorder="1" applyAlignment="1">
      <alignment horizontal="right" vertical="center" wrapText="1"/>
    </xf>
    <xf numFmtId="4" fontId="17" fillId="14" borderId="2" xfId="5" applyNumberFormat="1" applyFont="1" applyFill="1" applyBorder="1" applyAlignment="1">
      <alignment horizontal="right" vertical="center" wrapText="1"/>
    </xf>
    <xf numFmtId="0" fontId="27" fillId="10" borderId="2" xfId="5" applyFont="1" applyFill="1" applyBorder="1" applyAlignment="1">
      <alignment horizontal="center" vertical="center"/>
    </xf>
    <xf numFmtId="49" fontId="27" fillId="10" borderId="2" xfId="5" applyNumberFormat="1" applyFont="1" applyFill="1" applyBorder="1" applyAlignment="1">
      <alignment vertical="center"/>
    </xf>
    <xf numFmtId="165" fontId="27" fillId="10" borderId="2" xfId="5" applyNumberFormat="1" applyFont="1" applyFill="1" applyBorder="1" applyAlignment="1">
      <alignment horizontal="right" vertical="center" wrapText="1"/>
    </xf>
    <xf numFmtId="4" fontId="27" fillId="10" borderId="2" xfId="5" applyNumberFormat="1" applyFont="1" applyFill="1" applyBorder="1" applyAlignment="1">
      <alignment horizontal="right" vertical="center" wrapText="1"/>
    </xf>
    <xf numFmtId="49" fontId="27" fillId="10" borderId="2" xfId="5" applyNumberFormat="1" applyFont="1" applyFill="1" applyBorder="1" applyAlignment="1">
      <alignment horizontal="center" vertical="center"/>
    </xf>
    <xf numFmtId="165" fontId="27" fillId="10" borderId="2" xfId="5" applyNumberFormat="1" applyFont="1" applyFill="1" applyBorder="1" applyAlignment="1">
      <alignment vertical="center"/>
    </xf>
    <xf numFmtId="166" fontId="27" fillId="10" borderId="2" xfId="5" applyNumberFormat="1" applyFont="1" applyFill="1" applyBorder="1" applyAlignment="1">
      <alignment vertical="center"/>
    </xf>
    <xf numFmtId="4" fontId="27" fillId="10" borderId="2" xfId="5" applyNumberFormat="1" applyFont="1" applyFill="1" applyBorder="1" applyAlignment="1">
      <alignment vertical="center"/>
    </xf>
    <xf numFmtId="3" fontId="23" fillId="14" borderId="2" xfId="5" applyNumberFormat="1" applyFont="1" applyFill="1" applyBorder="1" applyAlignment="1">
      <alignment vertical="center" wrapText="1"/>
    </xf>
    <xf numFmtId="165" fontId="18" fillId="14" borderId="2" xfId="5" applyNumberFormat="1" applyFont="1" applyFill="1" applyBorder="1" applyAlignment="1">
      <alignment horizontal="right" vertical="center" wrapText="1"/>
    </xf>
    <xf numFmtId="4" fontId="18" fillId="14" borderId="2" xfId="5" applyNumberFormat="1" applyFont="1" applyFill="1" applyBorder="1" applyAlignment="1">
      <alignment horizontal="right" vertical="center" wrapText="1"/>
    </xf>
    <xf numFmtId="49" fontId="40" fillId="10" borderId="2" xfId="5" applyNumberFormat="1" applyFont="1" applyFill="1" applyBorder="1" applyAlignment="1">
      <alignment horizontal="center" vertical="center"/>
    </xf>
    <xf numFmtId="49" fontId="27" fillId="9" borderId="2" xfId="5" applyNumberFormat="1" applyFont="1" applyFill="1" applyBorder="1" applyAlignment="1">
      <alignment horizontal="right" vertical="center"/>
    </xf>
    <xf numFmtId="49" fontId="27" fillId="9" borderId="2" xfId="5" applyNumberFormat="1" applyFont="1" applyFill="1" applyBorder="1" applyAlignment="1">
      <alignment vertical="center"/>
    </xf>
    <xf numFmtId="165" fontId="27" fillId="9" borderId="2" xfId="5" applyNumberFormat="1" applyFont="1" applyFill="1" applyBorder="1" applyAlignment="1">
      <alignment horizontal="right" vertical="center" wrapText="1"/>
    </xf>
    <xf numFmtId="4" fontId="27" fillId="9" borderId="2" xfId="5" applyNumberFormat="1" applyFont="1" applyFill="1" applyBorder="1" applyAlignment="1">
      <alignment horizontal="right" vertical="center" wrapText="1"/>
    </xf>
    <xf numFmtId="0" fontId="27" fillId="9" borderId="2" xfId="5" applyFont="1" applyFill="1" applyBorder="1" applyAlignment="1">
      <alignment horizontal="right" vertical="center"/>
    </xf>
    <xf numFmtId="0" fontId="27" fillId="9" borderId="2" xfId="5" applyFont="1" applyFill="1" applyBorder="1" applyAlignment="1">
      <alignment vertical="center"/>
    </xf>
    <xf numFmtId="49" fontId="27" fillId="9" borderId="2" xfId="5" applyNumberFormat="1" applyFont="1" applyFill="1" applyBorder="1" applyAlignment="1">
      <alignment vertical="center" wrapText="1"/>
    </xf>
    <xf numFmtId="165" fontId="27" fillId="9" borderId="2" xfId="5" applyNumberFormat="1" applyFont="1" applyFill="1" applyBorder="1" applyAlignment="1">
      <alignment vertical="center"/>
    </xf>
    <xf numFmtId="166" fontId="27" fillId="9" borderId="2" xfId="5" applyNumberFormat="1" applyFont="1" applyFill="1" applyBorder="1" applyAlignment="1">
      <alignment vertical="center"/>
    </xf>
    <xf numFmtId="4" fontId="27" fillId="9" borderId="2" xfId="5" applyNumberFormat="1" applyFont="1" applyFill="1" applyBorder="1" applyAlignment="1">
      <alignment vertical="center"/>
    </xf>
    <xf numFmtId="49" fontId="27" fillId="9" borderId="2" xfId="5" applyNumberFormat="1" applyFont="1" applyFill="1" applyBorder="1" applyAlignment="1">
      <alignment horizontal="left" vertical="center"/>
    </xf>
    <xf numFmtId="165" fontId="27" fillId="9" borderId="2" xfId="0" applyNumberFormat="1" applyFont="1" applyFill="1" applyBorder="1" applyAlignment="1">
      <alignment horizontal="right"/>
    </xf>
    <xf numFmtId="4" fontId="27" fillId="9" borderId="2" xfId="0" applyNumberFormat="1" applyFont="1" applyFill="1" applyBorder="1" applyAlignment="1">
      <alignment horizontal="right"/>
    </xf>
    <xf numFmtId="49" fontId="40" fillId="10" borderId="2" xfId="5" applyNumberFormat="1" applyFont="1" applyFill="1" applyBorder="1" applyAlignment="1">
      <alignment vertical="center"/>
    </xf>
    <xf numFmtId="165" fontId="40" fillId="10" borderId="2" xfId="5" applyNumberFormat="1" applyFont="1" applyFill="1" applyBorder="1" applyAlignment="1">
      <alignment horizontal="right" vertical="center" wrapText="1"/>
    </xf>
    <xf numFmtId="4" fontId="40" fillId="10" borderId="2" xfId="5" applyNumberFormat="1" applyFont="1" applyFill="1" applyBorder="1" applyAlignment="1">
      <alignment horizontal="right" vertical="center" wrapText="1"/>
    </xf>
    <xf numFmtId="49" fontId="27" fillId="10" borderId="2" xfId="5" applyNumberFormat="1" applyFont="1" applyFill="1" applyBorder="1" applyAlignment="1">
      <alignment horizontal="right" vertical="center"/>
    </xf>
    <xf numFmtId="0" fontId="27" fillId="10" borderId="2" xfId="5" applyFont="1" applyFill="1" applyBorder="1" applyAlignment="1">
      <alignment vertical="center"/>
    </xf>
    <xf numFmtId="166" fontId="28" fillId="0" borderId="2" xfId="5" applyNumberFormat="1" applyFont="1" applyBorder="1"/>
    <xf numFmtId="0" fontId="14" fillId="0" borderId="0" xfId="2" applyFont="1" applyAlignment="1">
      <alignment horizontal="center" vertical="center" wrapText="1"/>
    </xf>
    <xf numFmtId="0" fontId="10" fillId="0" borderId="13" xfId="0" quotePrefix="1" applyFont="1" applyBorder="1" applyAlignment="1">
      <alignment horizontal="left" vertical="center" wrapText="1"/>
    </xf>
    <xf numFmtId="0" fontId="33" fillId="0" borderId="14" xfId="0" applyFont="1" applyBorder="1" applyAlignment="1">
      <alignment vertical="center" wrapText="1"/>
    </xf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left" vertical="center" wrapText="1"/>
    </xf>
    <xf numFmtId="0" fontId="51" fillId="0" borderId="12" xfId="0" applyFont="1" applyBorder="1" applyAlignment="1">
      <alignment horizontal="left" wrapText="1"/>
    </xf>
    <xf numFmtId="0" fontId="51" fillId="0" borderId="13" xfId="0" quotePrefix="1" applyFont="1" applyBorder="1" applyAlignment="1">
      <alignment horizontal="center" wrapText="1"/>
    </xf>
    <xf numFmtId="0" fontId="51" fillId="0" borderId="14" xfId="0" quotePrefix="1" applyFont="1" applyBorder="1" applyAlignment="1">
      <alignment horizontal="center" wrapText="1"/>
    </xf>
    <xf numFmtId="0" fontId="51" fillId="0" borderId="10" xfId="0" quotePrefix="1" applyFont="1" applyBorder="1" applyAlignment="1">
      <alignment horizontal="center" wrapText="1"/>
    </xf>
    <xf numFmtId="0" fontId="51" fillId="0" borderId="2" xfId="0" quotePrefix="1" applyFont="1" applyBorder="1" applyAlignment="1">
      <alignment horizontal="center" wrapText="1"/>
    </xf>
    <xf numFmtId="0" fontId="10" fillId="9" borderId="13" xfId="0" applyFont="1" applyFill="1" applyBorder="1" applyAlignment="1">
      <alignment horizontal="left" vertical="center" wrapText="1"/>
    </xf>
    <xf numFmtId="0" fontId="33" fillId="9" borderId="14" xfId="0" applyFont="1" applyFill="1" applyBorder="1" applyAlignment="1">
      <alignment vertical="center" wrapText="1"/>
    </xf>
    <xf numFmtId="0" fontId="33" fillId="9" borderId="14" xfId="0" applyFont="1" applyFill="1" applyBorder="1" applyAlignment="1">
      <alignment vertical="center"/>
    </xf>
    <xf numFmtId="0" fontId="10" fillId="0" borderId="13" xfId="0" applyFont="1" applyBorder="1" applyAlignment="1">
      <alignment horizontal="left" vertical="center" wrapText="1"/>
    </xf>
    <xf numFmtId="0" fontId="33" fillId="0" borderId="14" xfId="0" applyFont="1" applyBorder="1" applyAlignment="1">
      <alignment vertical="center"/>
    </xf>
    <xf numFmtId="0" fontId="10" fillId="0" borderId="13" xfId="0" quotePrefix="1" applyFont="1" applyBorder="1" applyAlignment="1">
      <alignment horizontal="left" vertical="center"/>
    </xf>
    <xf numFmtId="0" fontId="51" fillId="9" borderId="13" xfId="0" applyFont="1" applyFill="1" applyBorder="1" applyAlignment="1">
      <alignment horizontal="left" vertical="center" wrapText="1"/>
    </xf>
    <xf numFmtId="0" fontId="51" fillId="9" borderId="14" xfId="0" applyFont="1" applyFill="1" applyBorder="1" applyAlignment="1">
      <alignment horizontal="left" vertical="center" wrapText="1"/>
    </xf>
    <xf numFmtId="0" fontId="51" fillId="9" borderId="10" xfId="0" applyFont="1" applyFill="1" applyBorder="1" applyAlignment="1">
      <alignment horizontal="left" vertical="center" wrapText="1"/>
    </xf>
    <xf numFmtId="0" fontId="10" fillId="9" borderId="13" xfId="0" quotePrefix="1" applyFont="1" applyFill="1" applyBorder="1" applyAlignment="1">
      <alignment horizontal="left" vertical="center" wrapText="1"/>
    </xf>
    <xf numFmtId="0" fontId="10" fillId="9" borderId="14" xfId="0" quotePrefix="1" applyFont="1" applyFill="1" applyBorder="1" applyAlignment="1">
      <alignment horizontal="left" vertical="center" wrapText="1"/>
    </xf>
    <xf numFmtId="0" fontId="10" fillId="9" borderId="10" xfId="0" quotePrefix="1" applyFont="1" applyFill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51" fillId="9" borderId="2" xfId="0" applyFont="1" applyFill="1" applyBorder="1" applyAlignment="1">
      <alignment horizontal="left" vertical="center" wrapText="1"/>
    </xf>
    <xf numFmtId="0" fontId="10" fillId="12" borderId="13" xfId="3" applyFont="1" applyFill="1" applyBorder="1" applyAlignment="1">
      <alignment horizontal="center" vertical="center"/>
    </xf>
    <xf numFmtId="0" fontId="10" fillId="12" borderId="14" xfId="3" applyFont="1" applyFill="1" applyBorder="1" applyAlignment="1">
      <alignment horizontal="center" vertical="center"/>
    </xf>
    <xf numFmtId="0" fontId="10" fillId="12" borderId="10" xfId="3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49" fillId="2" borderId="0" xfId="2" applyFont="1" applyFill="1" applyAlignment="1">
      <alignment horizontal="center" vertical="center" wrapText="1"/>
    </xf>
    <xf numFmtId="0" fontId="44" fillId="0" borderId="0" xfId="3" applyFont="1" applyAlignment="1">
      <alignment horizontal="center" wrapText="1"/>
    </xf>
    <xf numFmtId="3" fontId="49" fillId="3" borderId="11" xfId="3" applyNumberFormat="1" applyFont="1" applyFill="1" applyBorder="1" applyAlignment="1">
      <alignment horizontal="center" vertical="center" wrapText="1"/>
    </xf>
    <xf numFmtId="3" fontId="49" fillId="3" borderId="12" xfId="3" applyNumberFormat="1" applyFont="1" applyFill="1" applyBorder="1" applyAlignment="1">
      <alignment horizontal="center" vertical="center" wrapText="1"/>
    </xf>
    <xf numFmtId="3" fontId="10" fillId="3" borderId="0" xfId="3" applyNumberFormat="1" applyFont="1" applyFill="1" applyAlignment="1">
      <alignment horizontal="center" vertical="center" wrapText="1"/>
    </xf>
    <xf numFmtId="0" fontId="62" fillId="0" borderId="13" xfId="3" applyFont="1" applyBorder="1" applyAlignment="1">
      <alignment horizontal="center"/>
    </xf>
    <xf numFmtId="0" fontId="62" fillId="0" borderId="14" xfId="3" applyFont="1" applyBorder="1" applyAlignment="1">
      <alignment horizontal="center"/>
    </xf>
    <xf numFmtId="0" fontId="62" fillId="0" borderId="10" xfId="3" applyFont="1" applyBorder="1" applyAlignment="1">
      <alignment horizontal="center"/>
    </xf>
    <xf numFmtId="0" fontId="10" fillId="12" borderId="13" xfId="3" applyFont="1" applyFill="1" applyBorder="1" applyAlignment="1">
      <alignment horizontal="center"/>
    </xf>
    <xf numFmtId="0" fontId="10" fillId="12" borderId="14" xfId="3" applyFont="1" applyFill="1" applyBorder="1" applyAlignment="1">
      <alignment horizontal="center"/>
    </xf>
    <xf numFmtId="0" fontId="10" fillId="12" borderId="10" xfId="3" applyFont="1" applyFill="1" applyBorder="1" applyAlignment="1">
      <alignment horizontal="center"/>
    </xf>
    <xf numFmtId="0" fontId="10" fillId="2" borderId="0" xfId="2" applyFont="1" applyFill="1" applyAlignment="1">
      <alignment horizontal="center" vertical="center" wrapText="1"/>
    </xf>
    <xf numFmtId="0" fontId="10" fillId="2" borderId="0" xfId="2" applyFont="1" applyFill="1" applyAlignment="1">
      <alignment horizontal="center" vertical="center"/>
    </xf>
    <xf numFmtId="0" fontId="33" fillId="0" borderId="0" xfId="3" applyFont="1" applyAlignment="1">
      <alignment horizontal="center" wrapText="1"/>
    </xf>
    <xf numFmtId="3" fontId="10" fillId="3" borderId="11" xfId="3" applyNumberFormat="1" applyFont="1" applyFill="1" applyBorder="1" applyAlignment="1">
      <alignment horizontal="center" vertical="center" wrapText="1"/>
    </xf>
    <xf numFmtId="3" fontId="10" fillId="3" borderId="12" xfId="3" applyNumberFormat="1" applyFont="1" applyFill="1" applyBorder="1" applyAlignment="1">
      <alignment horizontal="center" vertical="center" wrapText="1"/>
    </xf>
    <xf numFmtId="3" fontId="33" fillId="4" borderId="13" xfId="3" applyNumberFormat="1" applyFont="1" applyFill="1" applyBorder="1" applyAlignment="1">
      <alignment horizontal="center" vertical="center" wrapText="1"/>
    </xf>
    <xf numFmtId="3" fontId="33" fillId="4" borderId="14" xfId="3" applyNumberFormat="1" applyFont="1" applyFill="1" applyBorder="1" applyAlignment="1">
      <alignment horizontal="center" vertical="center" wrapText="1"/>
    </xf>
    <xf numFmtId="3" fontId="33" fillId="4" borderId="10" xfId="3" applyNumberFormat="1" applyFont="1" applyFill="1" applyBorder="1" applyAlignment="1">
      <alignment horizontal="center" vertical="center" wrapText="1"/>
    </xf>
    <xf numFmtId="3" fontId="14" fillId="4" borderId="1" xfId="3" applyNumberFormat="1" applyFont="1" applyFill="1" applyBorder="1" applyAlignment="1">
      <alignment horizontal="center" vertical="center" wrapText="1"/>
    </xf>
    <xf numFmtId="3" fontId="14" fillId="4" borderId="0" xfId="3" applyNumberFormat="1" applyFont="1" applyFill="1" applyAlignment="1">
      <alignment horizontal="center" vertical="center" wrapText="1"/>
    </xf>
    <xf numFmtId="0" fontId="21" fillId="3" borderId="2" xfId="3" applyFont="1" applyFill="1" applyBorder="1" applyAlignment="1">
      <alignment horizontal="center" vertical="center" wrapText="1"/>
    </xf>
    <xf numFmtId="3" fontId="14" fillId="4" borderId="5" xfId="3" applyNumberFormat="1" applyFont="1" applyFill="1" applyBorder="1" applyAlignment="1">
      <alignment horizontal="right" vertical="center"/>
    </xf>
    <xf numFmtId="3" fontId="14" fillId="4" borderId="6" xfId="3" applyNumberFormat="1" applyFont="1" applyFill="1" applyBorder="1" applyAlignment="1">
      <alignment horizontal="right" vertical="center"/>
    </xf>
    <xf numFmtId="3" fontId="14" fillId="4" borderId="7" xfId="3" applyNumberFormat="1" applyFont="1" applyFill="1" applyBorder="1" applyAlignment="1">
      <alignment horizontal="right" vertical="center"/>
    </xf>
    <xf numFmtId="0" fontId="14" fillId="2" borderId="0" xfId="2" applyFont="1" applyFill="1" applyAlignment="1">
      <alignment horizontal="center" vertical="center" wrapText="1"/>
    </xf>
    <xf numFmtId="3" fontId="14" fillId="3" borderId="1" xfId="3" applyNumberFormat="1" applyFont="1" applyFill="1" applyBorder="1" applyAlignment="1">
      <alignment horizontal="center" vertical="center" wrapText="1"/>
    </xf>
    <xf numFmtId="3" fontId="14" fillId="3" borderId="0" xfId="3" applyNumberFormat="1" applyFont="1" applyFill="1" applyAlignment="1">
      <alignment horizontal="center" vertical="center" wrapText="1"/>
    </xf>
    <xf numFmtId="0" fontId="29" fillId="2" borderId="0" xfId="2" applyFont="1" applyFill="1" applyAlignment="1">
      <alignment wrapText="1"/>
    </xf>
    <xf numFmtId="0" fontId="29" fillId="2" borderId="0" xfId="2" applyFont="1" applyFill="1" applyAlignment="1">
      <alignment vertical="center" wrapText="1"/>
    </xf>
    <xf numFmtId="0" fontId="14" fillId="2" borderId="0" xfId="6" applyFont="1" applyFill="1" applyAlignment="1">
      <alignment horizontal="center" vertical="center" wrapText="1"/>
    </xf>
    <xf numFmtId="0" fontId="58" fillId="2" borderId="17" xfId="6" applyFont="1" applyFill="1" applyBorder="1" applyAlignment="1">
      <alignment horizontal="center" vertical="center" wrapText="1"/>
    </xf>
  </cellXfs>
  <cellStyles count="9">
    <cellStyle name="Normalno" xfId="0" builtinId="0"/>
    <cellStyle name="Normalno 2" xfId="2" xr:uid="{00000000-0005-0000-0000-000002000000}"/>
    <cellStyle name="Normalno 3" xfId="5" xr:uid="{00000000-0005-0000-0000-000003000000}"/>
    <cellStyle name="Normalno 3 3" xfId="6" xr:uid="{00000000-0005-0000-0000-000004000000}"/>
    <cellStyle name="Normalno 4" xfId="8" xr:uid="{00000000-0005-0000-0000-000005000000}"/>
    <cellStyle name="Obično 4" xfId="3" xr:uid="{00000000-0005-0000-0000-000006000000}"/>
    <cellStyle name="Obično_List9" xfId="7" xr:uid="{00000000-0005-0000-0000-000007000000}"/>
    <cellStyle name="Valuta" xfId="1" builtinId="4"/>
    <cellStyle name="Valuta 3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29"/>
  <sheetViews>
    <sheetView tabSelected="1" topLeftCell="A4" workbookViewId="0">
      <selection activeCell="A4" sqref="A4"/>
    </sheetView>
  </sheetViews>
  <sheetFormatPr defaultRowHeight="15.75" x14ac:dyDescent="0.25"/>
  <cols>
    <col min="1" max="5" width="9.140625" style="232"/>
    <col min="6" max="6" width="25.28515625" style="232" customWidth="1"/>
    <col min="7" max="7" width="19.5703125" style="232" customWidth="1"/>
    <col min="8" max="8" width="17.7109375" style="232" customWidth="1"/>
    <col min="9" max="9" width="13.42578125" style="232" customWidth="1"/>
    <col min="10" max="10" width="18.7109375" style="232" customWidth="1"/>
    <col min="11" max="11" width="10.85546875" style="232" bestFit="1" customWidth="1"/>
    <col min="12" max="12" width="8.140625" style="232" bestFit="1" customWidth="1"/>
    <col min="13" max="261" width="9.140625" style="232"/>
    <col min="262" max="262" width="25.28515625" style="232" customWidth="1"/>
    <col min="263" max="263" width="17" style="232" bestFit="1" customWidth="1"/>
    <col min="264" max="264" width="20.28515625" style="232" customWidth="1"/>
    <col min="265" max="265" width="22" style="232" customWidth="1"/>
    <col min="266" max="517" width="9.140625" style="232"/>
    <col min="518" max="518" width="25.28515625" style="232" customWidth="1"/>
    <col min="519" max="519" width="17" style="232" bestFit="1" customWidth="1"/>
    <col min="520" max="520" width="20.28515625" style="232" customWidth="1"/>
    <col min="521" max="521" width="22" style="232" customWidth="1"/>
    <col min="522" max="773" width="9.140625" style="232"/>
    <col min="774" max="774" width="25.28515625" style="232" customWidth="1"/>
    <col min="775" max="775" width="17" style="232" bestFit="1" customWidth="1"/>
    <col min="776" max="776" width="20.28515625" style="232" customWidth="1"/>
    <col min="777" max="777" width="22" style="232" customWidth="1"/>
    <col min="778" max="1029" width="9.140625" style="232"/>
    <col min="1030" max="1030" width="25.28515625" style="232" customWidth="1"/>
    <col min="1031" max="1031" width="17" style="232" bestFit="1" customWidth="1"/>
    <col min="1032" max="1032" width="20.28515625" style="232" customWidth="1"/>
    <col min="1033" max="1033" width="22" style="232" customWidth="1"/>
    <col min="1034" max="1285" width="9.140625" style="232"/>
    <col min="1286" max="1286" width="25.28515625" style="232" customWidth="1"/>
    <col min="1287" max="1287" width="17" style="232" bestFit="1" customWidth="1"/>
    <col min="1288" max="1288" width="20.28515625" style="232" customWidth="1"/>
    <col min="1289" max="1289" width="22" style="232" customWidth="1"/>
    <col min="1290" max="1541" width="9.140625" style="232"/>
    <col min="1542" max="1542" width="25.28515625" style="232" customWidth="1"/>
    <col min="1543" max="1543" width="17" style="232" bestFit="1" customWidth="1"/>
    <col min="1544" max="1544" width="20.28515625" style="232" customWidth="1"/>
    <col min="1545" max="1545" width="22" style="232" customWidth="1"/>
    <col min="1546" max="1797" width="9.140625" style="232"/>
    <col min="1798" max="1798" width="25.28515625" style="232" customWidth="1"/>
    <col min="1799" max="1799" width="17" style="232" bestFit="1" customWidth="1"/>
    <col min="1800" max="1800" width="20.28515625" style="232" customWidth="1"/>
    <col min="1801" max="1801" width="22" style="232" customWidth="1"/>
    <col min="1802" max="2053" width="9.140625" style="232"/>
    <col min="2054" max="2054" width="25.28515625" style="232" customWidth="1"/>
    <col min="2055" max="2055" width="17" style="232" bestFit="1" customWidth="1"/>
    <col min="2056" max="2056" width="20.28515625" style="232" customWidth="1"/>
    <col min="2057" max="2057" width="22" style="232" customWidth="1"/>
    <col min="2058" max="2309" width="9.140625" style="232"/>
    <col min="2310" max="2310" width="25.28515625" style="232" customWidth="1"/>
    <col min="2311" max="2311" width="17" style="232" bestFit="1" customWidth="1"/>
    <col min="2312" max="2312" width="20.28515625" style="232" customWidth="1"/>
    <col min="2313" max="2313" width="22" style="232" customWidth="1"/>
    <col min="2314" max="2565" width="9.140625" style="232"/>
    <col min="2566" max="2566" width="25.28515625" style="232" customWidth="1"/>
    <col min="2567" max="2567" width="17" style="232" bestFit="1" customWidth="1"/>
    <col min="2568" max="2568" width="20.28515625" style="232" customWidth="1"/>
    <col min="2569" max="2569" width="22" style="232" customWidth="1"/>
    <col min="2570" max="2821" width="9.140625" style="232"/>
    <col min="2822" max="2822" width="25.28515625" style="232" customWidth="1"/>
    <col min="2823" max="2823" width="17" style="232" bestFit="1" customWidth="1"/>
    <col min="2824" max="2824" width="20.28515625" style="232" customWidth="1"/>
    <col min="2825" max="2825" width="22" style="232" customWidth="1"/>
    <col min="2826" max="3077" width="9.140625" style="232"/>
    <col min="3078" max="3078" width="25.28515625" style="232" customWidth="1"/>
    <col min="3079" max="3079" width="17" style="232" bestFit="1" customWidth="1"/>
    <col min="3080" max="3080" width="20.28515625" style="232" customWidth="1"/>
    <col min="3081" max="3081" width="22" style="232" customWidth="1"/>
    <col min="3082" max="3333" width="9.140625" style="232"/>
    <col min="3334" max="3334" width="25.28515625" style="232" customWidth="1"/>
    <col min="3335" max="3335" width="17" style="232" bestFit="1" customWidth="1"/>
    <col min="3336" max="3336" width="20.28515625" style="232" customWidth="1"/>
    <col min="3337" max="3337" width="22" style="232" customWidth="1"/>
    <col min="3338" max="3589" width="9.140625" style="232"/>
    <col min="3590" max="3590" width="25.28515625" style="232" customWidth="1"/>
    <col min="3591" max="3591" width="17" style="232" bestFit="1" customWidth="1"/>
    <col min="3592" max="3592" width="20.28515625" style="232" customWidth="1"/>
    <col min="3593" max="3593" width="22" style="232" customWidth="1"/>
    <col min="3594" max="3845" width="9.140625" style="232"/>
    <col min="3846" max="3846" width="25.28515625" style="232" customWidth="1"/>
    <col min="3847" max="3847" width="17" style="232" bestFit="1" customWidth="1"/>
    <col min="3848" max="3848" width="20.28515625" style="232" customWidth="1"/>
    <col min="3849" max="3849" width="22" style="232" customWidth="1"/>
    <col min="3850" max="4101" width="9.140625" style="232"/>
    <col min="4102" max="4102" width="25.28515625" style="232" customWidth="1"/>
    <col min="4103" max="4103" width="17" style="232" bestFit="1" customWidth="1"/>
    <col min="4104" max="4104" width="20.28515625" style="232" customWidth="1"/>
    <col min="4105" max="4105" width="22" style="232" customWidth="1"/>
    <col min="4106" max="4357" width="9.140625" style="232"/>
    <col min="4358" max="4358" width="25.28515625" style="232" customWidth="1"/>
    <col min="4359" max="4359" width="17" style="232" bestFit="1" customWidth="1"/>
    <col min="4360" max="4360" width="20.28515625" style="232" customWidth="1"/>
    <col min="4361" max="4361" width="22" style="232" customWidth="1"/>
    <col min="4362" max="4613" width="9.140625" style="232"/>
    <col min="4614" max="4614" width="25.28515625" style="232" customWidth="1"/>
    <col min="4615" max="4615" width="17" style="232" bestFit="1" customWidth="1"/>
    <col min="4616" max="4616" width="20.28515625" style="232" customWidth="1"/>
    <col min="4617" max="4617" width="22" style="232" customWidth="1"/>
    <col min="4618" max="4869" width="9.140625" style="232"/>
    <col min="4870" max="4870" width="25.28515625" style="232" customWidth="1"/>
    <col min="4871" max="4871" width="17" style="232" bestFit="1" customWidth="1"/>
    <col min="4872" max="4872" width="20.28515625" style="232" customWidth="1"/>
    <col min="4873" max="4873" width="22" style="232" customWidth="1"/>
    <col min="4874" max="5125" width="9.140625" style="232"/>
    <col min="5126" max="5126" width="25.28515625" style="232" customWidth="1"/>
    <col min="5127" max="5127" width="17" style="232" bestFit="1" customWidth="1"/>
    <col min="5128" max="5128" width="20.28515625" style="232" customWidth="1"/>
    <col min="5129" max="5129" width="22" style="232" customWidth="1"/>
    <col min="5130" max="5381" width="9.140625" style="232"/>
    <col min="5382" max="5382" width="25.28515625" style="232" customWidth="1"/>
    <col min="5383" max="5383" width="17" style="232" bestFit="1" customWidth="1"/>
    <col min="5384" max="5384" width="20.28515625" style="232" customWidth="1"/>
    <col min="5385" max="5385" width="22" style="232" customWidth="1"/>
    <col min="5386" max="5637" width="9.140625" style="232"/>
    <col min="5638" max="5638" width="25.28515625" style="232" customWidth="1"/>
    <col min="5639" max="5639" width="17" style="232" bestFit="1" customWidth="1"/>
    <col min="5640" max="5640" width="20.28515625" style="232" customWidth="1"/>
    <col min="5641" max="5641" width="22" style="232" customWidth="1"/>
    <col min="5642" max="5893" width="9.140625" style="232"/>
    <col min="5894" max="5894" width="25.28515625" style="232" customWidth="1"/>
    <col min="5895" max="5895" width="17" style="232" bestFit="1" customWidth="1"/>
    <col min="5896" max="5896" width="20.28515625" style="232" customWidth="1"/>
    <col min="5897" max="5897" width="22" style="232" customWidth="1"/>
    <col min="5898" max="6149" width="9.140625" style="232"/>
    <col min="6150" max="6150" width="25.28515625" style="232" customWidth="1"/>
    <col min="6151" max="6151" width="17" style="232" bestFit="1" customWidth="1"/>
    <col min="6152" max="6152" width="20.28515625" style="232" customWidth="1"/>
    <col min="6153" max="6153" width="22" style="232" customWidth="1"/>
    <col min="6154" max="6405" width="9.140625" style="232"/>
    <col min="6406" max="6406" width="25.28515625" style="232" customWidth="1"/>
    <col min="6407" max="6407" width="17" style="232" bestFit="1" customWidth="1"/>
    <col min="6408" max="6408" width="20.28515625" style="232" customWidth="1"/>
    <col min="6409" max="6409" width="22" style="232" customWidth="1"/>
    <col min="6410" max="6661" width="9.140625" style="232"/>
    <col min="6662" max="6662" width="25.28515625" style="232" customWidth="1"/>
    <col min="6663" max="6663" width="17" style="232" bestFit="1" customWidth="1"/>
    <col min="6664" max="6664" width="20.28515625" style="232" customWidth="1"/>
    <col min="6665" max="6665" width="22" style="232" customWidth="1"/>
    <col min="6666" max="6917" width="9.140625" style="232"/>
    <col min="6918" max="6918" width="25.28515625" style="232" customWidth="1"/>
    <col min="6919" max="6919" width="17" style="232" bestFit="1" customWidth="1"/>
    <col min="6920" max="6920" width="20.28515625" style="232" customWidth="1"/>
    <col min="6921" max="6921" width="22" style="232" customWidth="1"/>
    <col min="6922" max="7173" width="9.140625" style="232"/>
    <col min="7174" max="7174" width="25.28515625" style="232" customWidth="1"/>
    <col min="7175" max="7175" width="17" style="232" bestFit="1" customWidth="1"/>
    <col min="7176" max="7176" width="20.28515625" style="232" customWidth="1"/>
    <col min="7177" max="7177" width="22" style="232" customWidth="1"/>
    <col min="7178" max="7429" width="9.140625" style="232"/>
    <col min="7430" max="7430" width="25.28515625" style="232" customWidth="1"/>
    <col min="7431" max="7431" width="17" style="232" bestFit="1" customWidth="1"/>
    <col min="7432" max="7432" width="20.28515625" style="232" customWidth="1"/>
    <col min="7433" max="7433" width="22" style="232" customWidth="1"/>
    <col min="7434" max="7685" width="9.140625" style="232"/>
    <col min="7686" max="7686" width="25.28515625" style="232" customWidth="1"/>
    <col min="7687" max="7687" width="17" style="232" bestFit="1" customWidth="1"/>
    <col min="7688" max="7688" width="20.28515625" style="232" customWidth="1"/>
    <col min="7689" max="7689" width="22" style="232" customWidth="1"/>
    <col min="7690" max="7941" width="9.140625" style="232"/>
    <col min="7942" max="7942" width="25.28515625" style="232" customWidth="1"/>
    <col min="7943" max="7943" width="17" style="232" bestFit="1" customWidth="1"/>
    <col min="7944" max="7944" width="20.28515625" style="232" customWidth="1"/>
    <col min="7945" max="7945" width="22" style="232" customWidth="1"/>
    <col min="7946" max="8197" width="9.140625" style="232"/>
    <col min="8198" max="8198" width="25.28515625" style="232" customWidth="1"/>
    <col min="8199" max="8199" width="17" style="232" bestFit="1" customWidth="1"/>
    <col min="8200" max="8200" width="20.28515625" style="232" customWidth="1"/>
    <col min="8201" max="8201" width="22" style="232" customWidth="1"/>
    <col min="8202" max="8453" width="9.140625" style="232"/>
    <col min="8454" max="8454" width="25.28515625" style="232" customWidth="1"/>
    <col min="8455" max="8455" width="17" style="232" bestFit="1" customWidth="1"/>
    <col min="8456" max="8456" width="20.28515625" style="232" customWidth="1"/>
    <col min="8457" max="8457" width="22" style="232" customWidth="1"/>
    <col min="8458" max="8709" width="9.140625" style="232"/>
    <col min="8710" max="8710" width="25.28515625" style="232" customWidth="1"/>
    <col min="8711" max="8711" width="17" style="232" bestFit="1" customWidth="1"/>
    <col min="8712" max="8712" width="20.28515625" style="232" customWidth="1"/>
    <col min="8713" max="8713" width="22" style="232" customWidth="1"/>
    <col min="8714" max="8965" width="9.140625" style="232"/>
    <col min="8966" max="8966" width="25.28515625" style="232" customWidth="1"/>
    <col min="8967" max="8967" width="17" style="232" bestFit="1" customWidth="1"/>
    <col min="8968" max="8968" width="20.28515625" style="232" customWidth="1"/>
    <col min="8969" max="8969" width="22" style="232" customWidth="1"/>
    <col min="8970" max="9221" width="9.140625" style="232"/>
    <col min="9222" max="9222" width="25.28515625" style="232" customWidth="1"/>
    <col min="9223" max="9223" width="17" style="232" bestFit="1" customWidth="1"/>
    <col min="9224" max="9224" width="20.28515625" style="232" customWidth="1"/>
    <col min="9225" max="9225" width="22" style="232" customWidth="1"/>
    <col min="9226" max="9477" width="9.140625" style="232"/>
    <col min="9478" max="9478" width="25.28515625" style="232" customWidth="1"/>
    <col min="9479" max="9479" width="17" style="232" bestFit="1" customWidth="1"/>
    <col min="9480" max="9480" width="20.28515625" style="232" customWidth="1"/>
    <col min="9481" max="9481" width="22" style="232" customWidth="1"/>
    <col min="9482" max="9733" width="9.140625" style="232"/>
    <col min="9734" max="9734" width="25.28515625" style="232" customWidth="1"/>
    <col min="9735" max="9735" width="17" style="232" bestFit="1" customWidth="1"/>
    <col min="9736" max="9736" width="20.28515625" style="232" customWidth="1"/>
    <col min="9737" max="9737" width="22" style="232" customWidth="1"/>
    <col min="9738" max="9989" width="9.140625" style="232"/>
    <col min="9990" max="9990" width="25.28515625" style="232" customWidth="1"/>
    <col min="9991" max="9991" width="17" style="232" bestFit="1" customWidth="1"/>
    <col min="9992" max="9992" width="20.28515625" style="232" customWidth="1"/>
    <col min="9993" max="9993" width="22" style="232" customWidth="1"/>
    <col min="9994" max="10245" width="9.140625" style="232"/>
    <col min="10246" max="10246" width="25.28515625" style="232" customWidth="1"/>
    <col min="10247" max="10247" width="17" style="232" bestFit="1" customWidth="1"/>
    <col min="10248" max="10248" width="20.28515625" style="232" customWidth="1"/>
    <col min="10249" max="10249" width="22" style="232" customWidth="1"/>
    <col min="10250" max="10501" width="9.140625" style="232"/>
    <col min="10502" max="10502" width="25.28515625" style="232" customWidth="1"/>
    <col min="10503" max="10503" width="17" style="232" bestFit="1" customWidth="1"/>
    <col min="10504" max="10504" width="20.28515625" style="232" customWidth="1"/>
    <col min="10505" max="10505" width="22" style="232" customWidth="1"/>
    <col min="10506" max="10757" width="9.140625" style="232"/>
    <col min="10758" max="10758" width="25.28515625" style="232" customWidth="1"/>
    <col min="10759" max="10759" width="17" style="232" bestFit="1" customWidth="1"/>
    <col min="10760" max="10760" width="20.28515625" style="232" customWidth="1"/>
    <col min="10761" max="10761" width="22" style="232" customWidth="1"/>
    <col min="10762" max="11013" width="9.140625" style="232"/>
    <col min="11014" max="11014" width="25.28515625" style="232" customWidth="1"/>
    <col min="11015" max="11015" width="17" style="232" bestFit="1" customWidth="1"/>
    <col min="11016" max="11016" width="20.28515625" style="232" customWidth="1"/>
    <col min="11017" max="11017" width="22" style="232" customWidth="1"/>
    <col min="11018" max="11269" width="9.140625" style="232"/>
    <col min="11270" max="11270" width="25.28515625" style="232" customWidth="1"/>
    <col min="11271" max="11271" width="17" style="232" bestFit="1" customWidth="1"/>
    <col min="11272" max="11272" width="20.28515625" style="232" customWidth="1"/>
    <col min="11273" max="11273" width="22" style="232" customWidth="1"/>
    <col min="11274" max="11525" width="9.140625" style="232"/>
    <col min="11526" max="11526" width="25.28515625" style="232" customWidth="1"/>
    <col min="11527" max="11527" width="17" style="232" bestFit="1" customWidth="1"/>
    <col min="11528" max="11528" width="20.28515625" style="232" customWidth="1"/>
    <col min="11529" max="11529" width="22" style="232" customWidth="1"/>
    <col min="11530" max="11781" width="9.140625" style="232"/>
    <col min="11782" max="11782" width="25.28515625" style="232" customWidth="1"/>
    <col min="11783" max="11783" width="17" style="232" bestFit="1" customWidth="1"/>
    <col min="11784" max="11784" width="20.28515625" style="232" customWidth="1"/>
    <col min="11785" max="11785" width="22" style="232" customWidth="1"/>
    <col min="11786" max="12037" width="9.140625" style="232"/>
    <col min="12038" max="12038" width="25.28515625" style="232" customWidth="1"/>
    <col min="12039" max="12039" width="17" style="232" bestFit="1" customWidth="1"/>
    <col min="12040" max="12040" width="20.28515625" style="232" customWidth="1"/>
    <col min="12041" max="12041" width="22" style="232" customWidth="1"/>
    <col min="12042" max="12293" width="9.140625" style="232"/>
    <col min="12294" max="12294" width="25.28515625" style="232" customWidth="1"/>
    <col min="12295" max="12295" width="17" style="232" bestFit="1" customWidth="1"/>
    <col min="12296" max="12296" width="20.28515625" style="232" customWidth="1"/>
    <col min="12297" max="12297" width="22" style="232" customWidth="1"/>
    <col min="12298" max="12549" width="9.140625" style="232"/>
    <col min="12550" max="12550" width="25.28515625" style="232" customWidth="1"/>
    <col min="12551" max="12551" width="17" style="232" bestFit="1" customWidth="1"/>
    <col min="12552" max="12552" width="20.28515625" style="232" customWidth="1"/>
    <col min="12553" max="12553" width="22" style="232" customWidth="1"/>
    <col min="12554" max="12805" width="9.140625" style="232"/>
    <col min="12806" max="12806" width="25.28515625" style="232" customWidth="1"/>
    <col min="12807" max="12807" width="17" style="232" bestFit="1" customWidth="1"/>
    <col min="12808" max="12808" width="20.28515625" style="232" customWidth="1"/>
    <col min="12809" max="12809" width="22" style="232" customWidth="1"/>
    <col min="12810" max="13061" width="9.140625" style="232"/>
    <col min="13062" max="13062" width="25.28515625" style="232" customWidth="1"/>
    <col min="13063" max="13063" width="17" style="232" bestFit="1" customWidth="1"/>
    <col min="13064" max="13064" width="20.28515625" style="232" customWidth="1"/>
    <col min="13065" max="13065" width="22" style="232" customWidth="1"/>
    <col min="13066" max="13317" width="9.140625" style="232"/>
    <col min="13318" max="13318" width="25.28515625" style="232" customWidth="1"/>
    <col min="13319" max="13319" width="17" style="232" bestFit="1" customWidth="1"/>
    <col min="13320" max="13320" width="20.28515625" style="232" customWidth="1"/>
    <col min="13321" max="13321" width="22" style="232" customWidth="1"/>
    <col min="13322" max="13573" width="9.140625" style="232"/>
    <col min="13574" max="13574" width="25.28515625" style="232" customWidth="1"/>
    <col min="13575" max="13575" width="17" style="232" bestFit="1" customWidth="1"/>
    <col min="13576" max="13576" width="20.28515625" style="232" customWidth="1"/>
    <col min="13577" max="13577" width="22" style="232" customWidth="1"/>
    <col min="13578" max="13829" width="9.140625" style="232"/>
    <col min="13830" max="13830" width="25.28515625" style="232" customWidth="1"/>
    <col min="13831" max="13831" width="17" style="232" bestFit="1" customWidth="1"/>
    <col min="13832" max="13832" width="20.28515625" style="232" customWidth="1"/>
    <col min="13833" max="13833" width="22" style="232" customWidth="1"/>
    <col min="13834" max="14085" width="9.140625" style="232"/>
    <col min="14086" max="14086" width="25.28515625" style="232" customWidth="1"/>
    <col min="14087" max="14087" width="17" style="232" bestFit="1" customWidth="1"/>
    <col min="14088" max="14088" width="20.28515625" style="232" customWidth="1"/>
    <col min="14089" max="14089" width="22" style="232" customWidth="1"/>
    <col min="14090" max="14341" width="9.140625" style="232"/>
    <col min="14342" max="14342" width="25.28515625" style="232" customWidth="1"/>
    <col min="14343" max="14343" width="17" style="232" bestFit="1" customWidth="1"/>
    <col min="14344" max="14344" width="20.28515625" style="232" customWidth="1"/>
    <col min="14345" max="14345" width="22" style="232" customWidth="1"/>
    <col min="14346" max="14597" width="9.140625" style="232"/>
    <col min="14598" max="14598" width="25.28515625" style="232" customWidth="1"/>
    <col min="14599" max="14599" width="17" style="232" bestFit="1" customWidth="1"/>
    <col min="14600" max="14600" width="20.28515625" style="232" customWidth="1"/>
    <col min="14601" max="14601" width="22" style="232" customWidth="1"/>
    <col min="14602" max="14853" width="9.140625" style="232"/>
    <col min="14854" max="14854" width="25.28515625" style="232" customWidth="1"/>
    <col min="14855" max="14855" width="17" style="232" bestFit="1" customWidth="1"/>
    <col min="14856" max="14856" width="20.28515625" style="232" customWidth="1"/>
    <col min="14857" max="14857" width="22" style="232" customWidth="1"/>
    <col min="14858" max="15109" width="9.140625" style="232"/>
    <col min="15110" max="15110" width="25.28515625" style="232" customWidth="1"/>
    <col min="15111" max="15111" width="17" style="232" bestFit="1" customWidth="1"/>
    <col min="15112" max="15112" width="20.28515625" style="232" customWidth="1"/>
    <col min="15113" max="15113" width="22" style="232" customWidth="1"/>
    <col min="15114" max="15365" width="9.140625" style="232"/>
    <col min="15366" max="15366" width="25.28515625" style="232" customWidth="1"/>
    <col min="15367" max="15367" width="17" style="232" bestFit="1" customWidth="1"/>
    <col min="15368" max="15368" width="20.28515625" style="232" customWidth="1"/>
    <col min="15369" max="15369" width="22" style="232" customWidth="1"/>
    <col min="15370" max="15621" width="9.140625" style="232"/>
    <col min="15622" max="15622" width="25.28515625" style="232" customWidth="1"/>
    <col min="15623" max="15623" width="17" style="232" bestFit="1" customWidth="1"/>
    <col min="15624" max="15624" width="20.28515625" style="232" customWidth="1"/>
    <col min="15625" max="15625" width="22" style="232" customWidth="1"/>
    <col min="15626" max="15877" width="9.140625" style="232"/>
    <col min="15878" max="15878" width="25.28515625" style="232" customWidth="1"/>
    <col min="15879" max="15879" width="17" style="232" bestFit="1" customWidth="1"/>
    <col min="15880" max="15880" width="20.28515625" style="232" customWidth="1"/>
    <col min="15881" max="15881" width="22" style="232" customWidth="1"/>
    <col min="15882" max="16133" width="9.140625" style="232"/>
    <col min="16134" max="16134" width="25.28515625" style="232" customWidth="1"/>
    <col min="16135" max="16135" width="17" style="232" bestFit="1" customWidth="1"/>
    <col min="16136" max="16136" width="20.28515625" style="232" customWidth="1"/>
    <col min="16137" max="16137" width="22" style="232" customWidth="1"/>
    <col min="16138" max="16384" width="9.140625" style="232"/>
  </cols>
  <sheetData>
    <row r="1" spans="2:12" ht="15.75" customHeight="1" x14ac:dyDescent="0.25">
      <c r="B1" s="233" t="s">
        <v>620</v>
      </c>
      <c r="C1" s="233"/>
      <c r="D1" s="233"/>
      <c r="E1" s="233"/>
      <c r="F1" s="233"/>
      <c r="G1" s="233"/>
      <c r="H1" s="233"/>
      <c r="I1" s="233"/>
      <c r="J1" s="233"/>
      <c r="K1" s="233"/>
      <c r="L1" s="233"/>
    </row>
    <row r="2" spans="2:12" x14ac:dyDescent="0.25"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</row>
    <row r="3" spans="2:12" x14ac:dyDescent="0.25">
      <c r="B3" s="768" t="s">
        <v>0</v>
      </c>
      <c r="C3" s="768"/>
      <c r="D3" s="768"/>
      <c r="E3" s="768"/>
      <c r="F3" s="768"/>
      <c r="G3" s="768"/>
      <c r="H3" s="768"/>
      <c r="I3" s="768"/>
      <c r="J3" s="768"/>
      <c r="K3" s="768"/>
    </row>
    <row r="4" spans="2:12" x14ac:dyDescent="0.25">
      <c r="B4" s="769"/>
      <c r="C4" s="769"/>
      <c r="D4" s="769"/>
      <c r="E4" s="234"/>
      <c r="F4" s="234"/>
      <c r="G4" s="234"/>
      <c r="H4" s="234"/>
      <c r="I4" s="234"/>
      <c r="J4" s="234"/>
      <c r="K4" s="240"/>
      <c r="L4" s="240"/>
    </row>
    <row r="5" spans="2:12" x14ac:dyDescent="0.25">
      <c r="B5" s="768" t="s">
        <v>263</v>
      </c>
      <c r="C5" s="768"/>
      <c r="D5" s="768"/>
      <c r="E5" s="768"/>
      <c r="F5" s="768"/>
      <c r="G5" s="768"/>
      <c r="H5" s="768"/>
      <c r="I5" s="768"/>
      <c r="J5" s="768"/>
      <c r="K5" s="768"/>
    </row>
    <row r="6" spans="2:12" x14ac:dyDescent="0.25"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</row>
    <row r="7" spans="2:12" x14ac:dyDescent="0.25">
      <c r="B7" s="770" t="s">
        <v>538</v>
      </c>
      <c r="C7" s="770"/>
      <c r="D7" s="770"/>
      <c r="E7" s="770"/>
      <c r="F7" s="770"/>
      <c r="G7" s="241"/>
      <c r="H7" s="242"/>
      <c r="I7" s="242"/>
      <c r="J7" s="242"/>
      <c r="K7" s="243" t="s">
        <v>264</v>
      </c>
      <c r="L7" s="243" t="s">
        <v>264</v>
      </c>
    </row>
    <row r="8" spans="2:12" ht="47.25" x14ac:dyDescent="0.25">
      <c r="B8" s="771" t="s">
        <v>265</v>
      </c>
      <c r="C8" s="772"/>
      <c r="D8" s="772"/>
      <c r="E8" s="772"/>
      <c r="F8" s="773"/>
      <c r="G8" s="244" t="s">
        <v>622</v>
      </c>
      <c r="H8" s="229" t="s">
        <v>603</v>
      </c>
      <c r="I8" s="245" t="s">
        <v>604</v>
      </c>
      <c r="J8" s="245" t="s">
        <v>623</v>
      </c>
      <c r="K8" s="246" t="s">
        <v>544</v>
      </c>
      <c r="L8" s="246" t="s">
        <v>544</v>
      </c>
    </row>
    <row r="9" spans="2:12" ht="31.5" x14ac:dyDescent="0.25">
      <c r="B9" s="774">
        <v>1</v>
      </c>
      <c r="C9" s="774"/>
      <c r="D9" s="774"/>
      <c r="E9" s="774"/>
      <c r="F9" s="771"/>
      <c r="G9" s="245">
        <v>2</v>
      </c>
      <c r="H9" s="245">
        <v>3</v>
      </c>
      <c r="I9" s="245">
        <v>4</v>
      </c>
      <c r="J9" s="245">
        <v>5</v>
      </c>
      <c r="K9" s="245" t="s">
        <v>543</v>
      </c>
      <c r="L9" s="245" t="s">
        <v>589</v>
      </c>
    </row>
    <row r="10" spans="2:12" x14ac:dyDescent="0.25">
      <c r="B10" s="775" t="s">
        <v>266</v>
      </c>
      <c r="C10" s="776"/>
      <c r="D10" s="776"/>
      <c r="E10" s="776"/>
      <c r="F10" s="777"/>
      <c r="G10" s="248">
        <f>G11+G12</f>
        <v>5100997.3</v>
      </c>
      <c r="H10" s="248">
        <f>H11+H12</f>
        <v>4702255.6300000008</v>
      </c>
      <c r="I10" s="248">
        <f>I11+I12</f>
        <v>5292700.84</v>
      </c>
      <c r="J10" s="248">
        <f>J11+J12</f>
        <v>5342526.1499999994</v>
      </c>
      <c r="K10" s="248">
        <f>J10/H10*100</f>
        <v>113.616242296891</v>
      </c>
      <c r="L10" s="248">
        <f>J10/I10*100</f>
        <v>100.9413966801872</v>
      </c>
    </row>
    <row r="11" spans="2:12" x14ac:dyDescent="0.25">
      <c r="B11" s="778" t="s">
        <v>267</v>
      </c>
      <c r="C11" s="767"/>
      <c r="D11" s="767"/>
      <c r="E11" s="767"/>
      <c r="F11" s="779"/>
      <c r="G11" s="249">
        <f>'Prihodi po ekonomskoj klas'!D10</f>
        <v>5100997.3</v>
      </c>
      <c r="H11" s="249">
        <f>'Prihodi po ekonomskoj klas'!E10</f>
        <v>4702255.6300000008</v>
      </c>
      <c r="I11" s="249">
        <f>'Prihodi po ekonomskoj klas'!F10</f>
        <v>5291900.84</v>
      </c>
      <c r="J11" s="249">
        <f>'Prihodi po ekonomskoj klas'!G10</f>
        <v>5341726.1499999994</v>
      </c>
      <c r="K11" s="249">
        <f t="shared" ref="K11:K15" si="0">J11/H11*100</f>
        <v>113.59922918524951</v>
      </c>
      <c r="L11" s="249">
        <f>J11/I11*100</f>
        <v>100.94153899527716</v>
      </c>
    </row>
    <row r="12" spans="2:12" x14ac:dyDescent="0.25">
      <c r="B12" s="780" t="s">
        <v>268</v>
      </c>
      <c r="C12" s="779"/>
      <c r="D12" s="779"/>
      <c r="E12" s="779"/>
      <c r="F12" s="779"/>
      <c r="G12" s="249">
        <f>'Prihodi po ekonomskoj klas'!D70</f>
        <v>0</v>
      </c>
      <c r="H12" s="249">
        <f>'Prihodi po ekonomskoj klas'!E70</f>
        <v>0</v>
      </c>
      <c r="I12" s="249">
        <f>'Prihodi po ekonomskoj klas'!F70</f>
        <v>800</v>
      </c>
      <c r="J12" s="249">
        <f>'Prihodi po ekonomskoj klas'!G70</f>
        <v>800</v>
      </c>
      <c r="K12" s="249">
        <f>IFERROR(J12/H12*100,J12)</f>
        <v>800</v>
      </c>
      <c r="L12" s="249">
        <f t="shared" ref="L12:L16" si="1">J12/I12*100</f>
        <v>100</v>
      </c>
    </row>
    <row r="13" spans="2:12" x14ac:dyDescent="0.25">
      <c r="B13" s="250" t="s">
        <v>269</v>
      </c>
      <c r="C13" s="247"/>
      <c r="D13" s="247"/>
      <c r="E13" s="247"/>
      <c r="F13" s="247"/>
      <c r="G13" s="248">
        <f>G14+G15</f>
        <v>5931700.1705000009</v>
      </c>
      <c r="H13" s="248">
        <f>H14+H15</f>
        <v>4725934.5699999994</v>
      </c>
      <c r="I13" s="248">
        <f>I14+I15</f>
        <v>4763941.6499999994</v>
      </c>
      <c r="J13" s="248">
        <f>J14+J15</f>
        <v>5188831.55</v>
      </c>
      <c r="K13" s="248">
        <f t="shared" si="0"/>
        <v>109.79482413782129</v>
      </c>
      <c r="L13" s="248">
        <f t="shared" si="1"/>
        <v>108.91887288334021</v>
      </c>
    </row>
    <row r="14" spans="2:12" x14ac:dyDescent="0.25">
      <c r="B14" s="766" t="s">
        <v>270</v>
      </c>
      <c r="C14" s="767"/>
      <c r="D14" s="767"/>
      <c r="E14" s="767"/>
      <c r="F14" s="767"/>
      <c r="G14" s="249">
        <f>'RASHODI-ek.kl.'!D57</f>
        <v>5084825.8805000009</v>
      </c>
      <c r="H14" s="249">
        <f>'RASHODI-ek.kl.'!E57</f>
        <v>4299508.6899999995</v>
      </c>
      <c r="I14" s="249">
        <f>'RASHODI-ek.kl.'!F57</f>
        <v>4337963.4799999995</v>
      </c>
      <c r="J14" s="249">
        <f>'RASHODI-ek.kl.'!G57</f>
        <v>4919030.6399999997</v>
      </c>
      <c r="K14" s="249">
        <f t="shared" si="0"/>
        <v>114.40913357009637</v>
      </c>
      <c r="L14" s="249">
        <f t="shared" si="1"/>
        <v>113.39492973324894</v>
      </c>
    </row>
    <row r="15" spans="2:12" x14ac:dyDescent="0.25">
      <c r="B15" s="780" t="s">
        <v>271</v>
      </c>
      <c r="C15" s="779"/>
      <c r="D15" s="779"/>
      <c r="E15" s="779"/>
      <c r="F15" s="779"/>
      <c r="G15" s="249">
        <f>'RASHODI-ek.kl.'!D213</f>
        <v>846874.29</v>
      </c>
      <c r="H15" s="249">
        <f>'RASHODI-ek.kl.'!E213</f>
        <v>426425.88</v>
      </c>
      <c r="I15" s="249">
        <f>'RASHODI-ek.kl.'!F213</f>
        <v>425978.17000000004</v>
      </c>
      <c r="J15" s="249">
        <f>'RASHODI-ek.kl.'!G213</f>
        <v>269800.90999999997</v>
      </c>
      <c r="K15" s="249">
        <f t="shared" si="0"/>
        <v>63.270294476498471</v>
      </c>
      <c r="L15" s="249">
        <f t="shared" si="1"/>
        <v>63.336792587282098</v>
      </c>
    </row>
    <row r="16" spans="2:12" x14ac:dyDescent="0.25">
      <c r="B16" s="784" t="s">
        <v>272</v>
      </c>
      <c r="C16" s="776"/>
      <c r="D16" s="776"/>
      <c r="E16" s="776"/>
      <c r="F16" s="776"/>
      <c r="G16" s="248">
        <f>G10-G13</f>
        <v>-830702.87050000113</v>
      </c>
      <c r="H16" s="248">
        <f>H10-H13</f>
        <v>-23678.939999998547</v>
      </c>
      <c r="I16" s="248">
        <f>I10-I13</f>
        <v>528759.19000000041</v>
      </c>
      <c r="J16" s="248">
        <f>J10-J13</f>
        <v>153694.59999999963</v>
      </c>
      <c r="K16" s="248">
        <f>J16/H16*100</f>
        <v>-649.07719686780342</v>
      </c>
      <c r="L16" s="248">
        <f t="shared" si="1"/>
        <v>29.067031440153222</v>
      </c>
    </row>
    <row r="17" spans="1:34" x14ac:dyDescent="0.25">
      <c r="B17" s="234"/>
      <c r="C17" s="251"/>
      <c r="D17" s="251"/>
      <c r="E17" s="251"/>
      <c r="F17" s="251"/>
      <c r="G17" s="251"/>
      <c r="H17" s="251"/>
      <c r="I17" s="251"/>
      <c r="J17" s="252"/>
      <c r="K17" s="252"/>
      <c r="L17" s="252"/>
    </row>
    <row r="18" spans="1:34" x14ac:dyDescent="0.25">
      <c r="B18" s="770" t="s">
        <v>539</v>
      </c>
      <c r="C18" s="770"/>
      <c r="D18" s="770"/>
      <c r="E18" s="770"/>
      <c r="F18" s="770"/>
      <c r="G18" s="253"/>
      <c r="H18" s="251"/>
      <c r="I18" s="251"/>
      <c r="J18" s="252"/>
      <c r="K18" s="252"/>
      <c r="L18" s="252"/>
    </row>
    <row r="19" spans="1:34" ht="47.25" x14ac:dyDescent="0.25">
      <c r="B19" s="771" t="s">
        <v>265</v>
      </c>
      <c r="C19" s="772"/>
      <c r="D19" s="772"/>
      <c r="E19" s="772"/>
      <c r="F19" s="773"/>
      <c r="G19" s="244" t="s">
        <v>622</v>
      </c>
      <c r="H19" s="229" t="s">
        <v>603</v>
      </c>
      <c r="I19" s="245" t="s">
        <v>604</v>
      </c>
      <c r="J19" s="245" t="s">
        <v>623</v>
      </c>
      <c r="K19" s="246" t="s">
        <v>544</v>
      </c>
      <c r="L19" s="246" t="s">
        <v>544</v>
      </c>
    </row>
    <row r="20" spans="1:34" x14ac:dyDescent="0.25">
      <c r="B20" s="774">
        <v>1</v>
      </c>
      <c r="C20" s="774"/>
      <c r="D20" s="774"/>
      <c r="E20" s="774"/>
      <c r="F20" s="771"/>
      <c r="G20" s="245">
        <v>2</v>
      </c>
      <c r="H20" s="245">
        <v>3</v>
      </c>
      <c r="I20" s="245">
        <v>4</v>
      </c>
      <c r="J20" s="245">
        <v>5</v>
      </c>
      <c r="K20" s="245">
        <v>6</v>
      </c>
      <c r="L20" s="245">
        <v>7</v>
      </c>
    </row>
    <row r="21" spans="1:34" ht="15.75" customHeight="1" x14ac:dyDescent="0.25">
      <c r="B21" s="778" t="s">
        <v>273</v>
      </c>
      <c r="C21" s="787"/>
      <c r="D21" s="787"/>
      <c r="E21" s="787"/>
      <c r="F21" s="787"/>
      <c r="G21" s="254"/>
      <c r="H21" s="255"/>
      <c r="I21" s="255"/>
      <c r="J21" s="255"/>
      <c r="K21" s="255"/>
      <c r="L21" s="255"/>
    </row>
    <row r="22" spans="1:34" x14ac:dyDescent="0.25">
      <c r="B22" s="778" t="s">
        <v>274</v>
      </c>
      <c r="C22" s="767"/>
      <c r="D22" s="767"/>
      <c r="E22" s="767"/>
      <c r="F22" s="767"/>
      <c r="G22" s="256"/>
      <c r="H22" s="255"/>
      <c r="I22" s="255"/>
      <c r="J22" s="255"/>
      <c r="K22" s="255"/>
      <c r="L22" s="255"/>
    </row>
    <row r="23" spans="1:34" s="258" customFormat="1" ht="15" customHeight="1" x14ac:dyDescent="0.25">
      <c r="A23" s="232"/>
      <c r="B23" s="788" t="s">
        <v>542</v>
      </c>
      <c r="C23" s="788"/>
      <c r="D23" s="788"/>
      <c r="E23" s="788"/>
      <c r="F23" s="788"/>
      <c r="G23" s="257"/>
      <c r="H23" s="248"/>
      <c r="I23" s="248"/>
      <c r="J23" s="248"/>
      <c r="K23" s="248"/>
      <c r="L23" s="248"/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  <c r="X23" s="232"/>
      <c r="Y23" s="232"/>
      <c r="Z23" s="232"/>
      <c r="AA23" s="232"/>
      <c r="AB23" s="232"/>
      <c r="AC23" s="232"/>
      <c r="AD23" s="232"/>
      <c r="AE23" s="232"/>
      <c r="AF23" s="232"/>
      <c r="AG23" s="232"/>
      <c r="AH23" s="232"/>
    </row>
    <row r="24" spans="1:34" s="258" customFormat="1" ht="15" customHeight="1" x14ac:dyDescent="0.25">
      <c r="A24" s="232"/>
      <c r="B24" s="239"/>
      <c r="C24" s="239"/>
      <c r="D24" s="239"/>
      <c r="E24" s="239"/>
      <c r="F24" s="239"/>
      <c r="G24" s="239"/>
      <c r="H24" s="238"/>
      <c r="I24" s="238"/>
      <c r="J24" s="238"/>
      <c r="K24" s="238"/>
      <c r="L24" s="238"/>
      <c r="M24" s="232"/>
      <c r="N24" s="232"/>
      <c r="O24" s="232"/>
      <c r="P24" s="232"/>
      <c r="Q24" s="232"/>
      <c r="R24" s="232"/>
      <c r="S24" s="232"/>
      <c r="T24" s="232"/>
      <c r="U24" s="232"/>
      <c r="V24" s="232"/>
      <c r="W24" s="232"/>
      <c r="X24" s="232"/>
      <c r="Y24" s="232"/>
      <c r="Z24" s="232"/>
      <c r="AA24" s="232"/>
      <c r="AB24" s="232"/>
      <c r="AC24" s="232"/>
      <c r="AD24" s="232"/>
      <c r="AE24" s="232"/>
      <c r="AF24" s="232"/>
      <c r="AG24" s="232"/>
      <c r="AH24" s="232"/>
    </row>
    <row r="25" spans="1:34" s="258" customFormat="1" ht="15" customHeight="1" x14ac:dyDescent="0.25">
      <c r="A25" s="232"/>
      <c r="B25" s="770" t="s">
        <v>540</v>
      </c>
      <c r="C25" s="770"/>
      <c r="D25" s="770"/>
      <c r="E25" s="770"/>
      <c r="F25" s="770"/>
      <c r="G25" s="253"/>
      <c r="H25" s="251"/>
      <c r="I25" s="251"/>
      <c r="J25" s="252"/>
      <c r="K25" s="252"/>
      <c r="L25" s="252"/>
      <c r="M25" s="232"/>
      <c r="N25" s="232"/>
      <c r="O25" s="232"/>
      <c r="P25" s="232"/>
      <c r="Q25" s="232"/>
      <c r="R25" s="232"/>
      <c r="S25" s="232"/>
      <c r="T25" s="232"/>
      <c r="U25" s="232"/>
      <c r="V25" s="232"/>
      <c r="W25" s="232"/>
      <c r="X25" s="232"/>
      <c r="Y25" s="232"/>
      <c r="Z25" s="232"/>
      <c r="AA25" s="232"/>
      <c r="AB25" s="232"/>
      <c r="AC25" s="232"/>
      <c r="AD25" s="232"/>
      <c r="AE25" s="232"/>
      <c r="AF25" s="232"/>
      <c r="AG25" s="232"/>
      <c r="AH25" s="232"/>
    </row>
    <row r="26" spans="1:34" s="258" customFormat="1" ht="47.25" x14ac:dyDescent="0.25">
      <c r="A26" s="232"/>
      <c r="B26" s="771" t="s">
        <v>265</v>
      </c>
      <c r="C26" s="772"/>
      <c r="D26" s="772"/>
      <c r="E26" s="772"/>
      <c r="F26" s="773"/>
      <c r="G26" s="244" t="s">
        <v>622</v>
      </c>
      <c r="H26" s="229" t="s">
        <v>603</v>
      </c>
      <c r="I26" s="245" t="s">
        <v>604</v>
      </c>
      <c r="J26" s="245" t="s">
        <v>623</v>
      </c>
      <c r="K26" s="246" t="s">
        <v>544</v>
      </c>
      <c r="L26" s="246" t="s">
        <v>544</v>
      </c>
      <c r="M26" s="232"/>
      <c r="N26" s="232"/>
      <c r="O26" s="232"/>
      <c r="P26" s="232"/>
      <c r="Q26" s="232"/>
      <c r="R26" s="232"/>
      <c r="S26" s="232"/>
      <c r="T26" s="232"/>
      <c r="U26" s="232"/>
      <c r="V26" s="232"/>
      <c r="W26" s="232"/>
      <c r="X26" s="232"/>
      <c r="Y26" s="232"/>
      <c r="Z26" s="232"/>
      <c r="AA26" s="232"/>
      <c r="AB26" s="232"/>
      <c r="AC26" s="232"/>
      <c r="AD26" s="232"/>
      <c r="AE26" s="232"/>
      <c r="AF26" s="232"/>
      <c r="AG26" s="232"/>
      <c r="AH26" s="232"/>
    </row>
    <row r="27" spans="1:34" s="258" customFormat="1" ht="15" customHeight="1" x14ac:dyDescent="0.25">
      <c r="A27" s="232"/>
      <c r="B27" s="781" t="s">
        <v>275</v>
      </c>
      <c r="C27" s="782"/>
      <c r="D27" s="782"/>
      <c r="E27" s="782"/>
      <c r="F27" s="783"/>
      <c r="G27" s="259">
        <v>-12356.04</v>
      </c>
      <c r="H27" s="248">
        <f>G28</f>
        <v>-843058.91050000116</v>
      </c>
      <c r="I27" s="248">
        <f>G28</f>
        <v>-843058.91050000116</v>
      </c>
      <c r="J27" s="248">
        <f>G28</f>
        <v>-843058.91050000116</v>
      </c>
      <c r="K27" s="248">
        <f>IFERROR(J27/H27*100,J27)</f>
        <v>100</v>
      </c>
      <c r="L27" s="248">
        <f>IFERROR(J27/I27*100,J27)</f>
        <v>100</v>
      </c>
      <c r="M27" s="232"/>
      <c r="N27" s="232"/>
      <c r="O27" s="232"/>
      <c r="P27" s="232"/>
      <c r="Q27" s="232"/>
      <c r="R27" s="232"/>
      <c r="S27" s="232"/>
      <c r="T27" s="232"/>
      <c r="U27" s="232"/>
      <c r="V27" s="232"/>
      <c r="W27" s="232"/>
      <c r="X27" s="232"/>
      <c r="Y27" s="232"/>
      <c r="Z27" s="232"/>
      <c r="AA27" s="232"/>
      <c r="AB27" s="232"/>
      <c r="AC27" s="232"/>
      <c r="AD27" s="232"/>
      <c r="AE27" s="232"/>
      <c r="AF27" s="232"/>
      <c r="AG27" s="232"/>
      <c r="AH27" s="232"/>
    </row>
    <row r="28" spans="1:34" ht="25.5" customHeight="1" x14ac:dyDescent="0.25">
      <c r="B28" s="784" t="s">
        <v>541</v>
      </c>
      <c r="C28" s="785"/>
      <c r="D28" s="785"/>
      <c r="E28" s="785"/>
      <c r="F28" s="786"/>
      <c r="G28" s="248">
        <f>G16+G27</f>
        <v>-843058.91050000116</v>
      </c>
      <c r="H28" s="248">
        <f>H16+H27</f>
        <v>-866737.85049999971</v>
      </c>
      <c r="I28" s="248">
        <f>I27+I16</f>
        <v>-314299.72050000075</v>
      </c>
      <c r="J28" s="248">
        <f>J27+J16</f>
        <v>-689364.31050000153</v>
      </c>
      <c r="K28" s="248">
        <f>IFERROR(J28/H28*100,J28)</f>
        <v>79.535503163075688</v>
      </c>
      <c r="L28" s="248">
        <f>IFERROR(J28/I28*100,J28)</f>
        <v>219.33341506105472</v>
      </c>
    </row>
    <row r="29" spans="1:34" x14ac:dyDescent="0.25">
      <c r="B29" s="236"/>
      <c r="C29" s="237"/>
      <c r="D29" s="237"/>
      <c r="E29" s="237"/>
      <c r="F29" s="237"/>
      <c r="G29" s="237"/>
      <c r="H29" s="238"/>
      <c r="I29" s="238"/>
      <c r="J29" s="238"/>
      <c r="K29" s="238"/>
      <c r="L29" s="238"/>
    </row>
  </sheetData>
  <mergeCells count="22">
    <mergeCell ref="B25:F25"/>
    <mergeCell ref="B27:F27"/>
    <mergeCell ref="B28:F28"/>
    <mergeCell ref="B26:F26"/>
    <mergeCell ref="B15:F15"/>
    <mergeCell ref="B16:F16"/>
    <mergeCell ref="B19:F19"/>
    <mergeCell ref="B20:F20"/>
    <mergeCell ref="B21:F21"/>
    <mergeCell ref="B22:F22"/>
    <mergeCell ref="B23:F23"/>
    <mergeCell ref="B18:F18"/>
    <mergeCell ref="B14:F14"/>
    <mergeCell ref="B3:K3"/>
    <mergeCell ref="B4:D4"/>
    <mergeCell ref="B5:K5"/>
    <mergeCell ref="B7:F7"/>
    <mergeCell ref="B8:F8"/>
    <mergeCell ref="B9:F9"/>
    <mergeCell ref="B10:F10"/>
    <mergeCell ref="B11:F11"/>
    <mergeCell ref="B12:F12"/>
  </mergeCells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77"/>
  <sheetViews>
    <sheetView topLeftCell="A4" workbookViewId="0">
      <selection activeCell="D1" sqref="D1:E1048576"/>
    </sheetView>
  </sheetViews>
  <sheetFormatPr defaultRowHeight="15.75" x14ac:dyDescent="0.25"/>
  <cols>
    <col min="1" max="1" width="7" style="232" bestFit="1" customWidth="1"/>
    <col min="2" max="2" width="9.140625" style="232"/>
    <col min="3" max="3" width="71.7109375" style="232" bestFit="1" customWidth="1"/>
    <col min="4" max="4" width="24.85546875" style="232" customWidth="1"/>
    <col min="5" max="5" width="20.28515625" style="232" customWidth="1"/>
    <col min="6" max="6" width="20.28515625" style="232" bestFit="1" customWidth="1"/>
    <col min="7" max="7" width="24.28515625" style="232" customWidth="1"/>
    <col min="8" max="8" width="9.140625" style="232" customWidth="1"/>
    <col min="9" max="23" width="0" style="232" hidden="1" customWidth="1"/>
    <col min="24" max="24" width="9.140625" style="232" customWidth="1"/>
    <col min="25" max="257" width="9.140625" style="232"/>
    <col min="258" max="258" width="7" style="232" bestFit="1" customWidth="1"/>
    <col min="259" max="259" width="9.140625" style="232"/>
    <col min="260" max="260" width="41.28515625" style="232" bestFit="1" customWidth="1"/>
    <col min="261" max="263" width="20.28515625" style="232" bestFit="1" customWidth="1"/>
    <col min="264" max="513" width="9.140625" style="232"/>
    <col min="514" max="514" width="7" style="232" bestFit="1" customWidth="1"/>
    <col min="515" max="515" width="9.140625" style="232"/>
    <col min="516" max="516" width="41.28515625" style="232" bestFit="1" customWidth="1"/>
    <col min="517" max="519" width="20.28515625" style="232" bestFit="1" customWidth="1"/>
    <col min="520" max="769" width="9.140625" style="232"/>
    <col min="770" max="770" width="7" style="232" bestFit="1" customWidth="1"/>
    <col min="771" max="771" width="9.140625" style="232"/>
    <col min="772" max="772" width="41.28515625" style="232" bestFit="1" customWidth="1"/>
    <col min="773" max="775" width="20.28515625" style="232" bestFit="1" customWidth="1"/>
    <col min="776" max="1025" width="9.140625" style="232"/>
    <col min="1026" max="1026" width="7" style="232" bestFit="1" customWidth="1"/>
    <col min="1027" max="1027" width="9.140625" style="232"/>
    <col min="1028" max="1028" width="41.28515625" style="232" bestFit="1" customWidth="1"/>
    <col min="1029" max="1031" width="20.28515625" style="232" bestFit="1" customWidth="1"/>
    <col min="1032" max="1281" width="9.140625" style="232"/>
    <col min="1282" max="1282" width="7" style="232" bestFit="1" customWidth="1"/>
    <col min="1283" max="1283" width="9.140625" style="232"/>
    <col min="1284" max="1284" width="41.28515625" style="232" bestFit="1" customWidth="1"/>
    <col min="1285" max="1287" width="20.28515625" style="232" bestFit="1" customWidth="1"/>
    <col min="1288" max="1537" width="9.140625" style="232"/>
    <col min="1538" max="1538" width="7" style="232" bestFit="1" customWidth="1"/>
    <col min="1539" max="1539" width="9.140625" style="232"/>
    <col min="1540" max="1540" width="41.28515625" style="232" bestFit="1" customWidth="1"/>
    <col min="1541" max="1543" width="20.28515625" style="232" bestFit="1" customWidth="1"/>
    <col min="1544" max="1793" width="9.140625" style="232"/>
    <col min="1794" max="1794" width="7" style="232" bestFit="1" customWidth="1"/>
    <col min="1795" max="1795" width="9.140625" style="232"/>
    <col min="1796" max="1796" width="41.28515625" style="232" bestFit="1" customWidth="1"/>
    <col min="1797" max="1799" width="20.28515625" style="232" bestFit="1" customWidth="1"/>
    <col min="1800" max="2049" width="9.140625" style="232"/>
    <col min="2050" max="2050" width="7" style="232" bestFit="1" customWidth="1"/>
    <col min="2051" max="2051" width="9.140625" style="232"/>
    <col min="2052" max="2052" width="41.28515625" style="232" bestFit="1" customWidth="1"/>
    <col min="2053" max="2055" width="20.28515625" style="232" bestFit="1" customWidth="1"/>
    <col min="2056" max="2305" width="9.140625" style="232"/>
    <col min="2306" max="2306" width="7" style="232" bestFit="1" customWidth="1"/>
    <col min="2307" max="2307" width="9.140625" style="232"/>
    <col min="2308" max="2308" width="41.28515625" style="232" bestFit="1" customWidth="1"/>
    <col min="2309" max="2311" width="20.28515625" style="232" bestFit="1" customWidth="1"/>
    <col min="2312" max="2561" width="9.140625" style="232"/>
    <col min="2562" max="2562" width="7" style="232" bestFit="1" customWidth="1"/>
    <col min="2563" max="2563" width="9.140625" style="232"/>
    <col min="2564" max="2564" width="41.28515625" style="232" bestFit="1" customWidth="1"/>
    <col min="2565" max="2567" width="20.28515625" style="232" bestFit="1" customWidth="1"/>
    <col min="2568" max="2817" width="9.140625" style="232"/>
    <col min="2818" max="2818" width="7" style="232" bestFit="1" customWidth="1"/>
    <col min="2819" max="2819" width="9.140625" style="232"/>
    <col min="2820" max="2820" width="41.28515625" style="232" bestFit="1" customWidth="1"/>
    <col min="2821" max="2823" width="20.28515625" style="232" bestFit="1" customWidth="1"/>
    <col min="2824" max="3073" width="9.140625" style="232"/>
    <col min="3074" max="3074" width="7" style="232" bestFit="1" customWidth="1"/>
    <col min="3075" max="3075" width="9.140625" style="232"/>
    <col min="3076" max="3076" width="41.28515625" style="232" bestFit="1" customWidth="1"/>
    <col min="3077" max="3079" width="20.28515625" style="232" bestFit="1" customWidth="1"/>
    <col min="3080" max="3329" width="9.140625" style="232"/>
    <col min="3330" max="3330" width="7" style="232" bestFit="1" customWidth="1"/>
    <col min="3331" max="3331" width="9.140625" style="232"/>
    <col min="3332" max="3332" width="41.28515625" style="232" bestFit="1" customWidth="1"/>
    <col min="3333" max="3335" width="20.28515625" style="232" bestFit="1" customWidth="1"/>
    <col min="3336" max="3585" width="9.140625" style="232"/>
    <col min="3586" max="3586" width="7" style="232" bestFit="1" customWidth="1"/>
    <col min="3587" max="3587" width="9.140625" style="232"/>
    <col min="3588" max="3588" width="41.28515625" style="232" bestFit="1" customWidth="1"/>
    <col min="3589" max="3591" width="20.28515625" style="232" bestFit="1" customWidth="1"/>
    <col min="3592" max="3841" width="9.140625" style="232"/>
    <col min="3842" max="3842" width="7" style="232" bestFit="1" customWidth="1"/>
    <col min="3843" max="3843" width="9.140625" style="232"/>
    <col min="3844" max="3844" width="41.28515625" style="232" bestFit="1" customWidth="1"/>
    <col min="3845" max="3847" width="20.28515625" style="232" bestFit="1" customWidth="1"/>
    <col min="3848" max="4097" width="9.140625" style="232"/>
    <col min="4098" max="4098" width="7" style="232" bestFit="1" customWidth="1"/>
    <col min="4099" max="4099" width="9.140625" style="232"/>
    <col min="4100" max="4100" width="41.28515625" style="232" bestFit="1" customWidth="1"/>
    <col min="4101" max="4103" width="20.28515625" style="232" bestFit="1" customWidth="1"/>
    <col min="4104" max="4353" width="9.140625" style="232"/>
    <col min="4354" max="4354" width="7" style="232" bestFit="1" customWidth="1"/>
    <col min="4355" max="4355" width="9.140625" style="232"/>
    <col min="4356" max="4356" width="41.28515625" style="232" bestFit="1" customWidth="1"/>
    <col min="4357" max="4359" width="20.28515625" style="232" bestFit="1" customWidth="1"/>
    <col min="4360" max="4609" width="9.140625" style="232"/>
    <col min="4610" max="4610" width="7" style="232" bestFit="1" customWidth="1"/>
    <col min="4611" max="4611" width="9.140625" style="232"/>
    <col min="4612" max="4612" width="41.28515625" style="232" bestFit="1" customWidth="1"/>
    <col min="4613" max="4615" width="20.28515625" style="232" bestFit="1" customWidth="1"/>
    <col min="4616" max="4865" width="9.140625" style="232"/>
    <col min="4866" max="4866" width="7" style="232" bestFit="1" customWidth="1"/>
    <col min="4867" max="4867" width="9.140625" style="232"/>
    <col min="4868" max="4868" width="41.28515625" style="232" bestFit="1" customWidth="1"/>
    <col min="4869" max="4871" width="20.28515625" style="232" bestFit="1" customWidth="1"/>
    <col min="4872" max="5121" width="9.140625" style="232"/>
    <col min="5122" max="5122" width="7" style="232" bestFit="1" customWidth="1"/>
    <col min="5123" max="5123" width="9.140625" style="232"/>
    <col min="5124" max="5124" width="41.28515625" style="232" bestFit="1" customWidth="1"/>
    <col min="5125" max="5127" width="20.28515625" style="232" bestFit="1" customWidth="1"/>
    <col min="5128" max="5377" width="9.140625" style="232"/>
    <col min="5378" max="5378" width="7" style="232" bestFit="1" customWidth="1"/>
    <col min="5379" max="5379" width="9.140625" style="232"/>
    <col min="5380" max="5380" width="41.28515625" style="232" bestFit="1" customWidth="1"/>
    <col min="5381" max="5383" width="20.28515625" style="232" bestFit="1" customWidth="1"/>
    <col min="5384" max="5633" width="9.140625" style="232"/>
    <col min="5634" max="5634" width="7" style="232" bestFit="1" customWidth="1"/>
    <col min="5635" max="5635" width="9.140625" style="232"/>
    <col min="5636" max="5636" width="41.28515625" style="232" bestFit="1" customWidth="1"/>
    <col min="5637" max="5639" width="20.28515625" style="232" bestFit="1" customWidth="1"/>
    <col min="5640" max="5889" width="9.140625" style="232"/>
    <col min="5890" max="5890" width="7" style="232" bestFit="1" customWidth="1"/>
    <col min="5891" max="5891" width="9.140625" style="232"/>
    <col min="5892" max="5892" width="41.28515625" style="232" bestFit="1" customWidth="1"/>
    <col min="5893" max="5895" width="20.28515625" style="232" bestFit="1" customWidth="1"/>
    <col min="5896" max="6145" width="9.140625" style="232"/>
    <col min="6146" max="6146" width="7" style="232" bestFit="1" customWidth="1"/>
    <col min="6147" max="6147" width="9.140625" style="232"/>
    <col min="6148" max="6148" width="41.28515625" style="232" bestFit="1" customWidth="1"/>
    <col min="6149" max="6151" width="20.28515625" style="232" bestFit="1" customWidth="1"/>
    <col min="6152" max="6401" width="9.140625" style="232"/>
    <col min="6402" max="6402" width="7" style="232" bestFit="1" customWidth="1"/>
    <col min="6403" max="6403" width="9.140625" style="232"/>
    <col min="6404" max="6404" width="41.28515625" style="232" bestFit="1" customWidth="1"/>
    <col min="6405" max="6407" width="20.28515625" style="232" bestFit="1" customWidth="1"/>
    <col min="6408" max="6657" width="9.140625" style="232"/>
    <col min="6658" max="6658" width="7" style="232" bestFit="1" customWidth="1"/>
    <col min="6659" max="6659" width="9.140625" style="232"/>
    <col min="6660" max="6660" width="41.28515625" style="232" bestFit="1" customWidth="1"/>
    <col min="6661" max="6663" width="20.28515625" style="232" bestFit="1" customWidth="1"/>
    <col min="6664" max="6913" width="9.140625" style="232"/>
    <col min="6914" max="6914" width="7" style="232" bestFit="1" customWidth="1"/>
    <col min="6915" max="6915" width="9.140625" style="232"/>
    <col min="6916" max="6916" width="41.28515625" style="232" bestFit="1" customWidth="1"/>
    <col min="6917" max="6919" width="20.28515625" style="232" bestFit="1" customWidth="1"/>
    <col min="6920" max="7169" width="9.140625" style="232"/>
    <col min="7170" max="7170" width="7" style="232" bestFit="1" customWidth="1"/>
    <col min="7171" max="7171" width="9.140625" style="232"/>
    <col min="7172" max="7172" width="41.28515625" style="232" bestFit="1" customWidth="1"/>
    <col min="7173" max="7175" width="20.28515625" style="232" bestFit="1" customWidth="1"/>
    <col min="7176" max="7425" width="9.140625" style="232"/>
    <col min="7426" max="7426" width="7" style="232" bestFit="1" customWidth="1"/>
    <col min="7427" max="7427" width="9.140625" style="232"/>
    <col min="7428" max="7428" width="41.28515625" style="232" bestFit="1" customWidth="1"/>
    <col min="7429" max="7431" width="20.28515625" style="232" bestFit="1" customWidth="1"/>
    <col min="7432" max="7681" width="9.140625" style="232"/>
    <col min="7682" max="7682" width="7" style="232" bestFit="1" customWidth="1"/>
    <col min="7683" max="7683" width="9.140625" style="232"/>
    <col min="7684" max="7684" width="41.28515625" style="232" bestFit="1" customWidth="1"/>
    <col min="7685" max="7687" width="20.28515625" style="232" bestFit="1" customWidth="1"/>
    <col min="7688" max="7937" width="9.140625" style="232"/>
    <col min="7938" max="7938" width="7" style="232" bestFit="1" customWidth="1"/>
    <col min="7939" max="7939" width="9.140625" style="232"/>
    <col min="7940" max="7940" width="41.28515625" style="232" bestFit="1" customWidth="1"/>
    <col min="7941" max="7943" width="20.28515625" style="232" bestFit="1" customWidth="1"/>
    <col min="7944" max="8193" width="9.140625" style="232"/>
    <col min="8194" max="8194" width="7" style="232" bestFit="1" customWidth="1"/>
    <col min="8195" max="8195" width="9.140625" style="232"/>
    <col min="8196" max="8196" width="41.28515625" style="232" bestFit="1" customWidth="1"/>
    <col min="8197" max="8199" width="20.28515625" style="232" bestFit="1" customWidth="1"/>
    <col min="8200" max="8449" width="9.140625" style="232"/>
    <col min="8450" max="8450" width="7" style="232" bestFit="1" customWidth="1"/>
    <col min="8451" max="8451" width="9.140625" style="232"/>
    <col min="8452" max="8452" width="41.28515625" style="232" bestFit="1" customWidth="1"/>
    <col min="8453" max="8455" width="20.28515625" style="232" bestFit="1" customWidth="1"/>
    <col min="8456" max="8705" width="9.140625" style="232"/>
    <col min="8706" max="8706" width="7" style="232" bestFit="1" customWidth="1"/>
    <col min="8707" max="8707" width="9.140625" style="232"/>
    <col min="8708" max="8708" width="41.28515625" style="232" bestFit="1" customWidth="1"/>
    <col min="8709" max="8711" width="20.28515625" style="232" bestFit="1" customWidth="1"/>
    <col min="8712" max="8961" width="9.140625" style="232"/>
    <col min="8962" max="8962" width="7" style="232" bestFit="1" customWidth="1"/>
    <col min="8963" max="8963" width="9.140625" style="232"/>
    <col min="8964" max="8964" width="41.28515625" style="232" bestFit="1" customWidth="1"/>
    <col min="8965" max="8967" width="20.28515625" style="232" bestFit="1" customWidth="1"/>
    <col min="8968" max="9217" width="9.140625" style="232"/>
    <col min="9218" max="9218" width="7" style="232" bestFit="1" customWidth="1"/>
    <col min="9219" max="9219" width="9.140625" style="232"/>
    <col min="9220" max="9220" width="41.28515625" style="232" bestFit="1" customWidth="1"/>
    <col min="9221" max="9223" width="20.28515625" style="232" bestFit="1" customWidth="1"/>
    <col min="9224" max="9473" width="9.140625" style="232"/>
    <col min="9474" max="9474" width="7" style="232" bestFit="1" customWidth="1"/>
    <col min="9475" max="9475" width="9.140625" style="232"/>
    <col min="9476" max="9476" width="41.28515625" style="232" bestFit="1" customWidth="1"/>
    <col min="9477" max="9479" width="20.28515625" style="232" bestFit="1" customWidth="1"/>
    <col min="9480" max="9729" width="9.140625" style="232"/>
    <col min="9730" max="9730" width="7" style="232" bestFit="1" customWidth="1"/>
    <col min="9731" max="9731" width="9.140625" style="232"/>
    <col min="9732" max="9732" width="41.28515625" style="232" bestFit="1" customWidth="1"/>
    <col min="9733" max="9735" width="20.28515625" style="232" bestFit="1" customWidth="1"/>
    <col min="9736" max="9985" width="9.140625" style="232"/>
    <col min="9986" max="9986" width="7" style="232" bestFit="1" customWidth="1"/>
    <col min="9987" max="9987" width="9.140625" style="232"/>
    <col min="9988" max="9988" width="41.28515625" style="232" bestFit="1" customWidth="1"/>
    <col min="9989" max="9991" width="20.28515625" style="232" bestFit="1" customWidth="1"/>
    <col min="9992" max="10241" width="9.140625" style="232"/>
    <col min="10242" max="10242" width="7" style="232" bestFit="1" customWidth="1"/>
    <col min="10243" max="10243" width="9.140625" style="232"/>
    <col min="10244" max="10244" width="41.28515625" style="232" bestFit="1" customWidth="1"/>
    <col min="10245" max="10247" width="20.28515625" style="232" bestFit="1" customWidth="1"/>
    <col min="10248" max="10497" width="9.140625" style="232"/>
    <col min="10498" max="10498" width="7" style="232" bestFit="1" customWidth="1"/>
    <col min="10499" max="10499" width="9.140625" style="232"/>
    <col min="10500" max="10500" width="41.28515625" style="232" bestFit="1" customWidth="1"/>
    <col min="10501" max="10503" width="20.28515625" style="232" bestFit="1" customWidth="1"/>
    <col min="10504" max="10753" width="9.140625" style="232"/>
    <col min="10754" max="10754" width="7" style="232" bestFit="1" customWidth="1"/>
    <col min="10755" max="10755" width="9.140625" style="232"/>
    <col min="10756" max="10756" width="41.28515625" style="232" bestFit="1" customWidth="1"/>
    <col min="10757" max="10759" width="20.28515625" style="232" bestFit="1" customWidth="1"/>
    <col min="10760" max="11009" width="9.140625" style="232"/>
    <col min="11010" max="11010" width="7" style="232" bestFit="1" customWidth="1"/>
    <col min="11011" max="11011" width="9.140625" style="232"/>
    <col min="11012" max="11012" width="41.28515625" style="232" bestFit="1" customWidth="1"/>
    <col min="11013" max="11015" width="20.28515625" style="232" bestFit="1" customWidth="1"/>
    <col min="11016" max="11265" width="9.140625" style="232"/>
    <col min="11266" max="11266" width="7" style="232" bestFit="1" customWidth="1"/>
    <col min="11267" max="11267" width="9.140625" style="232"/>
    <col min="11268" max="11268" width="41.28515625" style="232" bestFit="1" customWidth="1"/>
    <col min="11269" max="11271" width="20.28515625" style="232" bestFit="1" customWidth="1"/>
    <col min="11272" max="11521" width="9.140625" style="232"/>
    <col min="11522" max="11522" width="7" style="232" bestFit="1" customWidth="1"/>
    <col min="11523" max="11523" width="9.140625" style="232"/>
    <col min="11524" max="11524" width="41.28515625" style="232" bestFit="1" customWidth="1"/>
    <col min="11525" max="11527" width="20.28515625" style="232" bestFit="1" customWidth="1"/>
    <col min="11528" max="11777" width="9.140625" style="232"/>
    <col min="11778" max="11778" width="7" style="232" bestFit="1" customWidth="1"/>
    <col min="11779" max="11779" width="9.140625" style="232"/>
    <col min="11780" max="11780" width="41.28515625" style="232" bestFit="1" customWidth="1"/>
    <col min="11781" max="11783" width="20.28515625" style="232" bestFit="1" customWidth="1"/>
    <col min="11784" max="12033" width="9.140625" style="232"/>
    <col min="12034" max="12034" width="7" style="232" bestFit="1" customWidth="1"/>
    <col min="12035" max="12035" width="9.140625" style="232"/>
    <col min="12036" max="12036" width="41.28515625" style="232" bestFit="1" customWidth="1"/>
    <col min="12037" max="12039" width="20.28515625" style="232" bestFit="1" customWidth="1"/>
    <col min="12040" max="12289" width="9.140625" style="232"/>
    <col min="12290" max="12290" width="7" style="232" bestFit="1" customWidth="1"/>
    <col min="12291" max="12291" width="9.140625" style="232"/>
    <col min="12292" max="12292" width="41.28515625" style="232" bestFit="1" customWidth="1"/>
    <col min="12293" max="12295" width="20.28515625" style="232" bestFit="1" customWidth="1"/>
    <col min="12296" max="12545" width="9.140625" style="232"/>
    <col min="12546" max="12546" width="7" style="232" bestFit="1" customWidth="1"/>
    <col min="12547" max="12547" width="9.140625" style="232"/>
    <col min="12548" max="12548" width="41.28515625" style="232" bestFit="1" customWidth="1"/>
    <col min="12549" max="12551" width="20.28515625" style="232" bestFit="1" customWidth="1"/>
    <col min="12552" max="12801" width="9.140625" style="232"/>
    <col min="12802" max="12802" width="7" style="232" bestFit="1" customWidth="1"/>
    <col min="12803" max="12803" width="9.140625" style="232"/>
    <col min="12804" max="12804" width="41.28515625" style="232" bestFit="1" customWidth="1"/>
    <col min="12805" max="12807" width="20.28515625" style="232" bestFit="1" customWidth="1"/>
    <col min="12808" max="13057" width="9.140625" style="232"/>
    <col min="13058" max="13058" width="7" style="232" bestFit="1" customWidth="1"/>
    <col min="13059" max="13059" width="9.140625" style="232"/>
    <col min="13060" max="13060" width="41.28515625" style="232" bestFit="1" customWidth="1"/>
    <col min="13061" max="13063" width="20.28515625" style="232" bestFit="1" customWidth="1"/>
    <col min="13064" max="13313" width="9.140625" style="232"/>
    <col min="13314" max="13314" width="7" style="232" bestFit="1" customWidth="1"/>
    <col min="13315" max="13315" width="9.140625" style="232"/>
    <col min="13316" max="13316" width="41.28515625" style="232" bestFit="1" customWidth="1"/>
    <col min="13317" max="13319" width="20.28515625" style="232" bestFit="1" customWidth="1"/>
    <col min="13320" max="13569" width="9.140625" style="232"/>
    <col min="13570" max="13570" width="7" style="232" bestFit="1" customWidth="1"/>
    <col min="13571" max="13571" width="9.140625" style="232"/>
    <col min="13572" max="13572" width="41.28515625" style="232" bestFit="1" customWidth="1"/>
    <col min="13573" max="13575" width="20.28515625" style="232" bestFit="1" customWidth="1"/>
    <col min="13576" max="13825" width="9.140625" style="232"/>
    <col min="13826" max="13826" width="7" style="232" bestFit="1" customWidth="1"/>
    <col min="13827" max="13827" width="9.140625" style="232"/>
    <col min="13828" max="13828" width="41.28515625" style="232" bestFit="1" customWidth="1"/>
    <col min="13829" max="13831" width="20.28515625" style="232" bestFit="1" customWidth="1"/>
    <col min="13832" max="14081" width="9.140625" style="232"/>
    <col min="14082" max="14082" width="7" style="232" bestFit="1" customWidth="1"/>
    <col min="14083" max="14083" width="9.140625" style="232"/>
    <col min="14084" max="14084" width="41.28515625" style="232" bestFit="1" customWidth="1"/>
    <col min="14085" max="14087" width="20.28515625" style="232" bestFit="1" customWidth="1"/>
    <col min="14088" max="14337" width="9.140625" style="232"/>
    <col min="14338" max="14338" width="7" style="232" bestFit="1" customWidth="1"/>
    <col min="14339" max="14339" width="9.140625" style="232"/>
    <col min="14340" max="14340" width="41.28515625" style="232" bestFit="1" customWidth="1"/>
    <col min="14341" max="14343" width="20.28515625" style="232" bestFit="1" customWidth="1"/>
    <col min="14344" max="14593" width="9.140625" style="232"/>
    <col min="14594" max="14594" width="7" style="232" bestFit="1" customWidth="1"/>
    <col min="14595" max="14595" width="9.140625" style="232"/>
    <col min="14596" max="14596" width="41.28515625" style="232" bestFit="1" customWidth="1"/>
    <col min="14597" max="14599" width="20.28515625" style="232" bestFit="1" customWidth="1"/>
    <col min="14600" max="14849" width="9.140625" style="232"/>
    <col min="14850" max="14850" width="7" style="232" bestFit="1" customWidth="1"/>
    <col min="14851" max="14851" width="9.140625" style="232"/>
    <col min="14852" max="14852" width="41.28515625" style="232" bestFit="1" customWidth="1"/>
    <col min="14853" max="14855" width="20.28515625" style="232" bestFit="1" customWidth="1"/>
    <col min="14856" max="15105" width="9.140625" style="232"/>
    <col min="15106" max="15106" width="7" style="232" bestFit="1" customWidth="1"/>
    <col min="15107" max="15107" width="9.140625" style="232"/>
    <col min="15108" max="15108" width="41.28515625" style="232" bestFit="1" customWidth="1"/>
    <col min="15109" max="15111" width="20.28515625" style="232" bestFit="1" customWidth="1"/>
    <col min="15112" max="15361" width="9.140625" style="232"/>
    <col min="15362" max="15362" width="7" style="232" bestFit="1" customWidth="1"/>
    <col min="15363" max="15363" width="9.140625" style="232"/>
    <col min="15364" max="15364" width="41.28515625" style="232" bestFit="1" customWidth="1"/>
    <col min="15365" max="15367" width="20.28515625" style="232" bestFit="1" customWidth="1"/>
    <col min="15368" max="15617" width="9.140625" style="232"/>
    <col min="15618" max="15618" width="7" style="232" bestFit="1" customWidth="1"/>
    <col min="15619" max="15619" width="9.140625" style="232"/>
    <col min="15620" max="15620" width="41.28515625" style="232" bestFit="1" customWidth="1"/>
    <col min="15621" max="15623" width="20.28515625" style="232" bestFit="1" customWidth="1"/>
    <col min="15624" max="15873" width="9.140625" style="232"/>
    <col min="15874" max="15874" width="7" style="232" bestFit="1" customWidth="1"/>
    <col min="15875" max="15875" width="9.140625" style="232"/>
    <col min="15876" max="15876" width="41.28515625" style="232" bestFit="1" customWidth="1"/>
    <col min="15877" max="15879" width="20.28515625" style="232" bestFit="1" customWidth="1"/>
    <col min="15880" max="16129" width="9.140625" style="232"/>
    <col min="16130" max="16130" width="7" style="232" bestFit="1" customWidth="1"/>
    <col min="16131" max="16131" width="9.140625" style="232"/>
    <col min="16132" max="16132" width="41.28515625" style="232" bestFit="1" customWidth="1"/>
    <col min="16133" max="16135" width="20.28515625" style="232" bestFit="1" customWidth="1"/>
    <col min="16136" max="16384" width="9.140625" style="232"/>
  </cols>
  <sheetData>
    <row r="2" spans="1:11" ht="15.75" customHeight="1" x14ac:dyDescent="0.25">
      <c r="A2" s="792" t="s">
        <v>0</v>
      </c>
      <c r="B2" s="792"/>
      <c r="C2" s="792"/>
      <c r="D2" s="792"/>
      <c r="E2" s="792"/>
      <c r="F2" s="792"/>
      <c r="G2" s="792"/>
    </row>
    <row r="3" spans="1:11" ht="15.75" customHeight="1" x14ac:dyDescent="0.25">
      <c r="A3" s="230"/>
      <c r="B3" s="230"/>
      <c r="C3" s="230"/>
      <c r="D3" s="230"/>
      <c r="E3" s="230"/>
      <c r="F3" s="230"/>
      <c r="G3" s="230"/>
    </row>
    <row r="4" spans="1:11" ht="15.75" customHeight="1" x14ac:dyDescent="0.25">
      <c r="A4" s="792" t="s">
        <v>1</v>
      </c>
      <c r="B4" s="792"/>
      <c r="C4" s="792"/>
      <c r="D4" s="792"/>
      <c r="E4" s="792"/>
      <c r="F4" s="792"/>
      <c r="G4" s="792"/>
    </row>
    <row r="5" spans="1:11" x14ac:dyDescent="0.25">
      <c r="A5" s="553"/>
      <c r="B5" s="553"/>
      <c r="C5" s="553"/>
      <c r="D5" s="553"/>
      <c r="E5" s="553"/>
      <c r="F5" s="553"/>
      <c r="G5" s="553"/>
    </row>
    <row r="6" spans="1:11" x14ac:dyDescent="0.25">
      <c r="A6" s="793" t="s">
        <v>238</v>
      </c>
      <c r="B6" s="793"/>
      <c r="C6" s="793"/>
      <c r="D6" s="793"/>
      <c r="E6" s="793"/>
      <c r="F6" s="793"/>
      <c r="G6" s="793"/>
    </row>
    <row r="7" spans="1:11" x14ac:dyDescent="0.25">
      <c r="A7" s="554"/>
      <c r="B7" s="794"/>
      <c r="C7" s="794"/>
      <c r="D7" s="794"/>
      <c r="E7" s="794"/>
      <c r="F7" s="794"/>
      <c r="G7" s="794"/>
    </row>
    <row r="8" spans="1:11" x14ac:dyDescent="0.25">
      <c r="A8" s="795" t="s">
        <v>2</v>
      </c>
      <c r="B8" s="796"/>
      <c r="C8" s="796"/>
      <c r="D8" s="796"/>
      <c r="E8" s="796"/>
      <c r="F8" s="796"/>
      <c r="G8" s="796"/>
    </row>
    <row r="9" spans="1:11" ht="63" x14ac:dyDescent="0.25">
      <c r="A9" s="225" t="s">
        <v>3</v>
      </c>
      <c r="B9" s="225" t="s">
        <v>4</v>
      </c>
      <c r="C9" s="506" t="s">
        <v>6</v>
      </c>
      <c r="D9" s="404" t="s">
        <v>622</v>
      </c>
      <c r="E9" s="229" t="s">
        <v>603</v>
      </c>
      <c r="F9" s="245" t="s">
        <v>604</v>
      </c>
      <c r="G9" s="245" t="s">
        <v>623</v>
      </c>
    </row>
    <row r="10" spans="1:11" x14ac:dyDescent="0.25">
      <c r="A10" s="508">
        <v>6</v>
      </c>
      <c r="B10" s="509"/>
      <c r="C10" s="508"/>
      <c r="D10" s="510">
        <f>D11+D33+D40+D47+D57+D66</f>
        <v>5100997.3</v>
      </c>
      <c r="E10" s="510">
        <f>E11+E33+E40+E47+E57+E66</f>
        <v>4702255.6300000008</v>
      </c>
      <c r="F10" s="555">
        <f>F11+F33+F40+F47+F57+F66</f>
        <v>5291900.84</v>
      </c>
      <c r="G10" s="555">
        <f>G11+G33+G40+G47+G57+G66</f>
        <v>5341726.1499999994</v>
      </c>
    </row>
    <row r="11" spans="1:11" x14ac:dyDescent="0.25">
      <c r="A11" s="511"/>
      <c r="B11" s="512">
        <v>63</v>
      </c>
      <c r="C11" s="513" t="s">
        <v>41</v>
      </c>
      <c r="D11" s="514">
        <f>D12+D14+D19+D22+D27+D31</f>
        <v>331632.40000000002</v>
      </c>
      <c r="E11" s="514">
        <f>E12+E14+E19+E22+E27+E31</f>
        <v>128013.95</v>
      </c>
      <c r="F11" s="556">
        <f>F12+F14+F19+F22+F27+F31</f>
        <v>514923.82999999996</v>
      </c>
      <c r="G11" s="556">
        <f>G12+G14+G19+G22+G27+G31</f>
        <v>309715.23</v>
      </c>
      <c r="I11" s="557" t="s">
        <v>239</v>
      </c>
      <c r="K11" s="558"/>
    </row>
    <row r="12" spans="1:11" hidden="1" x14ac:dyDescent="0.25">
      <c r="A12" s="511"/>
      <c r="B12" s="29">
        <v>632</v>
      </c>
      <c r="C12" s="515" t="s">
        <v>240</v>
      </c>
      <c r="D12" s="516">
        <f>SUM(D13)</f>
        <v>0</v>
      </c>
      <c r="E12" s="516">
        <f>SUM(E13)</f>
        <v>0</v>
      </c>
      <c r="F12" s="559">
        <f>SUM(F13)</f>
        <v>0</v>
      </c>
      <c r="G12" s="559">
        <f>SUM(G13)</f>
        <v>0</v>
      </c>
    </row>
    <row r="13" spans="1:11" x14ac:dyDescent="0.25">
      <c r="A13" s="511"/>
      <c r="B13" s="517">
        <v>6324</v>
      </c>
      <c r="C13" s="518" t="s">
        <v>241</v>
      </c>
      <c r="D13" s="560">
        <v>0</v>
      </c>
      <c r="E13" s="560">
        <v>0</v>
      </c>
      <c r="F13" s="561">
        <v>0</v>
      </c>
      <c r="G13" s="561">
        <v>0</v>
      </c>
    </row>
    <row r="14" spans="1:11" x14ac:dyDescent="0.25">
      <c r="A14" s="511"/>
      <c r="B14" s="29">
        <v>633</v>
      </c>
      <c r="C14" s="521" t="s">
        <v>242</v>
      </c>
      <c r="D14" s="516">
        <f>D15+D18</f>
        <v>799.5</v>
      </c>
      <c r="E14" s="516">
        <f>E15+E18</f>
        <v>0</v>
      </c>
      <c r="F14" s="559">
        <f t="shared" ref="F14:G14" si="0">F15+F18</f>
        <v>0</v>
      </c>
      <c r="G14" s="559">
        <f t="shared" si="0"/>
        <v>0</v>
      </c>
      <c r="I14" s="231" t="s">
        <v>243</v>
      </c>
    </row>
    <row r="15" spans="1:11" x14ac:dyDescent="0.25">
      <c r="A15" s="511"/>
      <c r="B15" s="511">
        <v>6331</v>
      </c>
      <c r="C15" s="562" t="s">
        <v>244</v>
      </c>
      <c r="D15" s="560">
        <f>SUM(D17)</f>
        <v>799.5</v>
      </c>
      <c r="E15" s="560">
        <f>SUM(E17)</f>
        <v>0</v>
      </c>
      <c r="F15" s="561">
        <f>SUM(F16:F17)</f>
        <v>0</v>
      </c>
      <c r="G15" s="561">
        <f>SUM(G16:G17)</f>
        <v>0</v>
      </c>
      <c r="I15" s="557" t="s">
        <v>245</v>
      </c>
    </row>
    <row r="16" spans="1:11" x14ac:dyDescent="0.25">
      <c r="A16" s="511"/>
      <c r="B16" s="522">
        <v>63312</v>
      </c>
      <c r="C16" s="563" t="s">
        <v>594</v>
      </c>
      <c r="D16" s="560"/>
      <c r="E16" s="560"/>
      <c r="F16" s="561">
        <f>'Prihodi po ek klas i izvorima'!G19</f>
        <v>0</v>
      </c>
      <c r="G16" s="561">
        <f>'Prihodi po ek klas i izvorima'!H19</f>
        <v>0</v>
      </c>
      <c r="I16" s="557"/>
    </row>
    <row r="17" spans="1:9" x14ac:dyDescent="0.25">
      <c r="A17" s="511"/>
      <c r="B17" s="522">
        <v>63313</v>
      </c>
      <c r="C17" s="563" t="s">
        <v>546</v>
      </c>
      <c r="D17" s="560">
        <f>'Prihodi po ek klas i izvorima'!E20</f>
        <v>799.5</v>
      </c>
      <c r="E17" s="560">
        <f>'Prihodi po ek klas i izvorima'!F20</f>
        <v>0</v>
      </c>
      <c r="F17" s="561">
        <f>'Prihodi po ek klas i izvorima'!G20</f>
        <v>0</v>
      </c>
      <c r="G17" s="561">
        <f>'Prihodi po ek klas i izvorima'!H20</f>
        <v>0</v>
      </c>
      <c r="I17" s="557"/>
    </row>
    <row r="18" spans="1:9" x14ac:dyDescent="0.25">
      <c r="A18" s="511"/>
      <c r="B18" s="511">
        <v>6332</v>
      </c>
      <c r="C18" s="562" t="s">
        <v>246</v>
      </c>
      <c r="D18" s="560">
        <f>'Prihodi po ek klas i izvorima'!E21</f>
        <v>0</v>
      </c>
      <c r="E18" s="560">
        <f>'Prihodi po ek klas i izvorima'!F21</f>
        <v>0</v>
      </c>
      <c r="F18" s="561">
        <f>'Prihodi po ek klas i izvorima'!G21</f>
        <v>0</v>
      </c>
      <c r="G18" s="561">
        <f>'Prihodi po ek klas i izvorima'!H21</f>
        <v>0</v>
      </c>
    </row>
    <row r="19" spans="1:9" s="566" customFormat="1" x14ac:dyDescent="0.25">
      <c r="A19" s="511"/>
      <c r="B19" s="511">
        <v>634</v>
      </c>
      <c r="C19" s="562" t="s">
        <v>24</v>
      </c>
      <c r="D19" s="564">
        <f>SUM(D20)</f>
        <v>0</v>
      </c>
      <c r="E19" s="564">
        <f>SUM(E20)</f>
        <v>68314.61</v>
      </c>
      <c r="F19" s="565">
        <f>SUM(F20)</f>
        <v>68314.61</v>
      </c>
      <c r="G19" s="565">
        <f t="shared" ref="G19" si="1">SUM(G20)</f>
        <v>0</v>
      </c>
    </row>
    <row r="20" spans="1:9" s="566" customFormat="1" x14ac:dyDescent="0.25">
      <c r="A20" s="511"/>
      <c r="B20" s="511">
        <v>6341</v>
      </c>
      <c r="C20" s="562" t="s">
        <v>247</v>
      </c>
      <c r="D20" s="564">
        <f>D21</f>
        <v>0</v>
      </c>
      <c r="E20" s="564">
        <f>E21</f>
        <v>68314.61</v>
      </c>
      <c r="F20" s="565">
        <f>F21</f>
        <v>68314.61</v>
      </c>
      <c r="G20" s="565">
        <f t="shared" ref="G20" si="2">G21</f>
        <v>0</v>
      </c>
    </row>
    <row r="21" spans="1:9" x14ac:dyDescent="0.25">
      <c r="A21" s="511"/>
      <c r="B21" s="522">
        <v>63414</v>
      </c>
      <c r="C21" s="567" t="s">
        <v>247</v>
      </c>
      <c r="D21" s="560">
        <f>'Prihodi po ek klas i izvorima'!E24</f>
        <v>0</v>
      </c>
      <c r="E21" s="560">
        <f>'Prihodi po ek klas i izvorima'!F24</f>
        <v>68314.61</v>
      </c>
      <c r="F21" s="561">
        <f>'Prihodi po ek klas i izvorima'!G24</f>
        <v>68314.61</v>
      </c>
      <c r="G21" s="561">
        <f>'Prihodi po ek klas i izvorima'!H24</f>
        <v>0</v>
      </c>
    </row>
    <row r="22" spans="1:9" x14ac:dyDescent="0.25">
      <c r="A22" s="511"/>
      <c r="B22" s="511">
        <v>636</v>
      </c>
      <c r="C22" s="526" t="s">
        <v>248</v>
      </c>
      <c r="D22" s="565">
        <f t="shared" ref="D22:E22" si="3">D23+D25</f>
        <v>299750</v>
      </c>
      <c r="E22" s="565">
        <f t="shared" si="3"/>
        <v>14000</v>
      </c>
      <c r="F22" s="565">
        <f>F23+F25</f>
        <v>298000</v>
      </c>
      <c r="G22" s="565">
        <f>G23+G25</f>
        <v>299750</v>
      </c>
    </row>
    <row r="23" spans="1:9" x14ac:dyDescent="0.25">
      <c r="A23" s="511"/>
      <c r="B23" s="511">
        <v>6361</v>
      </c>
      <c r="C23" s="526" t="s">
        <v>249</v>
      </c>
      <c r="D23" s="564">
        <f>D24</f>
        <v>14000</v>
      </c>
      <c r="E23" s="564">
        <f>E24</f>
        <v>14000</v>
      </c>
      <c r="F23" s="565">
        <f>F24</f>
        <v>14000</v>
      </c>
      <c r="G23" s="565">
        <f t="shared" ref="G23" si="4">G24</f>
        <v>14000</v>
      </c>
    </row>
    <row r="24" spans="1:9" x14ac:dyDescent="0.25">
      <c r="A24" s="511"/>
      <c r="B24" s="522">
        <v>63612</v>
      </c>
      <c r="C24" s="568" t="s">
        <v>249</v>
      </c>
      <c r="D24" s="560">
        <f>'Prihodi po ek klas i izvorima'!E27</f>
        <v>14000</v>
      </c>
      <c r="E24" s="560">
        <f>'Prihodi po ek klas i izvorima'!F27</f>
        <v>14000</v>
      </c>
      <c r="F24" s="561">
        <f>'Prihodi po ek klas i izvorima'!G27</f>
        <v>14000</v>
      </c>
      <c r="G24" s="561">
        <f>'Prihodi po ek klas i izvorima'!H27</f>
        <v>14000</v>
      </c>
    </row>
    <row r="25" spans="1:9" ht="31.5" x14ac:dyDescent="0.25">
      <c r="A25" s="511"/>
      <c r="B25" s="511">
        <v>6362</v>
      </c>
      <c r="C25" s="526" t="s">
        <v>592</v>
      </c>
      <c r="D25" s="565">
        <f t="shared" ref="D25:E25" si="5">D26</f>
        <v>285750</v>
      </c>
      <c r="E25" s="565">
        <f t="shared" si="5"/>
        <v>0</v>
      </c>
      <c r="F25" s="565">
        <f>F26</f>
        <v>284000</v>
      </c>
      <c r="G25" s="565">
        <f>G26</f>
        <v>285750</v>
      </c>
    </row>
    <row r="26" spans="1:9" x14ac:dyDescent="0.25">
      <c r="A26" s="511"/>
      <c r="B26" s="522">
        <v>63622</v>
      </c>
      <c r="C26" s="568" t="s">
        <v>592</v>
      </c>
      <c r="D26" s="561">
        <f>'Prihodi po ek klas i izvorima'!E29</f>
        <v>285750</v>
      </c>
      <c r="E26" s="561">
        <f>'Prihodi po ek klas i izvorima'!F29</f>
        <v>0</v>
      </c>
      <c r="F26" s="561">
        <f>'Prihodi po ek klas i izvorima'!G29</f>
        <v>284000</v>
      </c>
      <c r="G26" s="561">
        <f>'Prihodi po ek klas i izvorima'!H29</f>
        <v>285750</v>
      </c>
    </row>
    <row r="27" spans="1:9" s="566" customFormat="1" x14ac:dyDescent="0.25">
      <c r="A27" s="511"/>
      <c r="B27" s="511">
        <v>638</v>
      </c>
      <c r="C27" s="526" t="s">
        <v>250</v>
      </c>
      <c r="D27" s="564">
        <f>D28+D30</f>
        <v>31082.9</v>
      </c>
      <c r="E27" s="564">
        <f>E28+E30</f>
        <v>45699.34</v>
      </c>
      <c r="F27" s="565">
        <f t="shared" ref="F27:G27" si="6">F28+F30</f>
        <v>148609.22</v>
      </c>
      <c r="G27" s="565">
        <f t="shared" si="6"/>
        <v>9965.23</v>
      </c>
    </row>
    <row r="28" spans="1:9" s="566" customFormat="1" x14ac:dyDescent="0.25">
      <c r="A28" s="511"/>
      <c r="B28" s="511">
        <v>6381</v>
      </c>
      <c r="C28" s="526" t="s">
        <v>34</v>
      </c>
      <c r="D28" s="564">
        <f>SUM(D29)</f>
        <v>31082.9</v>
      </c>
      <c r="E28" s="564">
        <f>SUM(E29)</f>
        <v>45699.34</v>
      </c>
      <c r="F28" s="565">
        <f t="shared" ref="F28:G28" si="7">SUM(F29)</f>
        <v>148609.22</v>
      </c>
      <c r="G28" s="565">
        <f t="shared" si="7"/>
        <v>9965.23</v>
      </c>
    </row>
    <row r="29" spans="1:9" x14ac:dyDescent="0.25">
      <c r="A29" s="522"/>
      <c r="B29" s="522">
        <v>63814</v>
      </c>
      <c r="C29" s="568" t="s">
        <v>34</v>
      </c>
      <c r="D29" s="560">
        <f>'Prihodi po ek klas i izvorima'!E32</f>
        <v>31082.9</v>
      </c>
      <c r="E29" s="560">
        <f>'Prihodi po ek klas i izvorima'!F32</f>
        <v>45699.34</v>
      </c>
      <c r="F29" s="561">
        <f>'Prihodi po ek klas i izvorima'!G32</f>
        <v>148609.22</v>
      </c>
      <c r="G29" s="561">
        <f>'Prihodi po ek klas i izvorima'!H32</f>
        <v>9965.23</v>
      </c>
    </row>
    <row r="30" spans="1:9" s="566" customFormat="1" x14ac:dyDescent="0.25">
      <c r="A30" s="511"/>
      <c r="B30" s="511">
        <v>6382</v>
      </c>
      <c r="C30" s="526" t="s">
        <v>251</v>
      </c>
      <c r="D30" s="564">
        <f>'Prihodi po ek klas i izvorima'!E33</f>
        <v>0</v>
      </c>
      <c r="E30" s="564">
        <f>'Prihodi po ek klas i izvorima'!F33</f>
        <v>0</v>
      </c>
      <c r="F30" s="565">
        <f>'Prihodi po ek klas i izvorima'!G33</f>
        <v>0</v>
      </c>
      <c r="G30" s="565">
        <f>'Prihodi po ek klas i izvorima'!H33</f>
        <v>0</v>
      </c>
    </row>
    <row r="31" spans="1:9" x14ac:dyDescent="0.25">
      <c r="A31" s="511"/>
      <c r="B31" s="511">
        <v>639</v>
      </c>
      <c r="C31" s="526" t="s">
        <v>252</v>
      </c>
      <c r="D31" s="564">
        <f>SUM(D32)</f>
        <v>0</v>
      </c>
      <c r="E31" s="564">
        <f>SUM(E32)</f>
        <v>0</v>
      </c>
      <c r="F31" s="565">
        <f t="shared" ref="F31:G31" si="8">SUM(F32)</f>
        <v>0</v>
      </c>
      <c r="G31" s="565">
        <f t="shared" si="8"/>
        <v>0</v>
      </c>
    </row>
    <row r="32" spans="1:9" s="566" customFormat="1" x14ac:dyDescent="0.25">
      <c r="A32" s="511"/>
      <c r="B32" s="511">
        <v>6391</v>
      </c>
      <c r="C32" s="526" t="s">
        <v>253</v>
      </c>
      <c r="D32" s="564">
        <f>'Prihodi po ek klas i izvorima'!E35</f>
        <v>0</v>
      </c>
      <c r="E32" s="564">
        <f>'Prihodi po ek klas i izvorima'!F35</f>
        <v>0</v>
      </c>
      <c r="F32" s="565">
        <f>'Prihodi po ek klas i izvorima'!G35</f>
        <v>0</v>
      </c>
      <c r="G32" s="565">
        <f>'Prihodi po ek klas i izvorima'!H35</f>
        <v>0</v>
      </c>
    </row>
    <row r="33" spans="1:7" x14ac:dyDescent="0.25">
      <c r="A33" s="511"/>
      <c r="B33" s="529">
        <v>64</v>
      </c>
      <c r="C33" s="569" t="s">
        <v>42</v>
      </c>
      <c r="D33" s="570">
        <f>D34+D36+D38+D39</f>
        <v>40.760000000000005</v>
      </c>
      <c r="E33" s="570">
        <f>E34+E36+E38+E39</f>
        <v>200</v>
      </c>
      <c r="F33" s="571">
        <f>F34+F36+F38+F39</f>
        <v>200</v>
      </c>
      <c r="G33" s="571">
        <f>G34+G36+G38+G39</f>
        <v>4.18</v>
      </c>
    </row>
    <row r="34" spans="1:7" x14ac:dyDescent="0.25">
      <c r="A34" s="511"/>
      <c r="B34" s="511">
        <v>6413</v>
      </c>
      <c r="C34" s="562" t="s">
        <v>254</v>
      </c>
      <c r="D34" s="564">
        <f>SUM(D35)</f>
        <v>24.01</v>
      </c>
      <c r="E34" s="564">
        <f>SUM(E35)</f>
        <v>200</v>
      </c>
      <c r="F34" s="565">
        <f>SUM(F35)</f>
        <v>200</v>
      </c>
      <c r="G34" s="565">
        <f>SUM(G35)</f>
        <v>4.18</v>
      </c>
    </row>
    <row r="35" spans="1:7" x14ac:dyDescent="0.25">
      <c r="A35" s="511"/>
      <c r="B35" s="522">
        <v>64132</v>
      </c>
      <c r="C35" s="563" t="s">
        <v>254</v>
      </c>
      <c r="D35" s="560">
        <f>'Prihodi po ek klas i izvorima'!E61</f>
        <v>24.01</v>
      </c>
      <c r="E35" s="560">
        <f>'Prihodi po ek klas i izvorima'!F61</f>
        <v>200</v>
      </c>
      <c r="F35" s="561">
        <f>'Prihodi po ek klas i izvorima'!G61</f>
        <v>200</v>
      </c>
      <c r="G35" s="561">
        <f>'Prihodi po ek klas i izvorima'!H61</f>
        <v>4.18</v>
      </c>
    </row>
    <row r="36" spans="1:7" x14ac:dyDescent="0.25">
      <c r="A36" s="511"/>
      <c r="B36" s="511">
        <v>6414</v>
      </c>
      <c r="C36" s="562" t="s">
        <v>547</v>
      </c>
      <c r="D36" s="564">
        <f>SUM(D37)</f>
        <v>16.75</v>
      </c>
      <c r="E36" s="564">
        <f>SUM(E37)</f>
        <v>0</v>
      </c>
      <c r="F36" s="565">
        <f>SUM(F37)</f>
        <v>0</v>
      </c>
      <c r="G36" s="565">
        <f>SUM(G37)</f>
        <v>0</v>
      </c>
    </row>
    <row r="37" spans="1:7" x14ac:dyDescent="0.25">
      <c r="A37" s="511"/>
      <c r="B37" s="522">
        <v>64143</v>
      </c>
      <c r="C37" s="563" t="s">
        <v>547</v>
      </c>
      <c r="D37" s="560">
        <f>'Prihodi po ek klas i izvorima'!E63</f>
        <v>16.75</v>
      </c>
      <c r="E37" s="560">
        <f>'Prihodi po ek klas i izvorima'!F63</f>
        <v>0</v>
      </c>
      <c r="F37" s="561">
        <f>'Prihodi po ek klas i izvorima'!G63</f>
        <v>0</v>
      </c>
      <c r="G37" s="561">
        <f>'Prihodi po ek klas i izvorima'!H63</f>
        <v>0</v>
      </c>
    </row>
    <row r="38" spans="1:7" x14ac:dyDescent="0.25">
      <c r="A38" s="511"/>
      <c r="B38" s="511">
        <v>6419</v>
      </c>
      <c r="C38" s="562" t="s">
        <v>255</v>
      </c>
      <c r="D38" s="564">
        <f>'Prihodi po ek klas i izvorima'!E39+'Prihodi po ek klas i izvorima'!E64</f>
        <v>0</v>
      </c>
      <c r="E38" s="564">
        <f>'Prihodi po ek klas i izvorima'!F39+'Prihodi po ek klas i izvorima'!F64</f>
        <v>0</v>
      </c>
      <c r="F38" s="565">
        <f>'Prihodi po ek klas i izvorima'!G39+'Prihodi po ek klas i izvorima'!G64</f>
        <v>0</v>
      </c>
      <c r="G38" s="565">
        <f>'Prihodi po ek klas i izvorima'!H39+'Prihodi po ek klas i izvorima'!H64</f>
        <v>0</v>
      </c>
    </row>
    <row r="39" spans="1:7" x14ac:dyDescent="0.25">
      <c r="A39" s="511"/>
      <c r="B39" s="511">
        <v>6429</v>
      </c>
      <c r="C39" s="562" t="s">
        <v>57</v>
      </c>
      <c r="D39" s="564">
        <f>'Prihodi po ek klas i izvorima'!E65</f>
        <v>0</v>
      </c>
      <c r="E39" s="564">
        <f>'Prihodi po ek klas i izvorima'!F65</f>
        <v>0</v>
      </c>
      <c r="F39" s="565">
        <f>'Prihodi po ek klas i izvorima'!G65</f>
        <v>0</v>
      </c>
      <c r="G39" s="565">
        <f>'Prihodi po ek klas i izvorima'!H65</f>
        <v>0</v>
      </c>
    </row>
    <row r="40" spans="1:7" x14ac:dyDescent="0.25">
      <c r="A40" s="511"/>
      <c r="B40" s="529">
        <v>65</v>
      </c>
      <c r="C40" s="569" t="s">
        <v>46</v>
      </c>
      <c r="D40" s="570">
        <f>D41</f>
        <v>78585.409999999989</v>
      </c>
      <c r="E40" s="570">
        <f>E41</f>
        <v>53000</v>
      </c>
      <c r="F40" s="571">
        <f>F41</f>
        <v>53000</v>
      </c>
      <c r="G40" s="571">
        <f>G41</f>
        <v>48280.21</v>
      </c>
    </row>
    <row r="41" spans="1:7" x14ac:dyDescent="0.25">
      <c r="A41" s="511"/>
      <c r="B41" s="511">
        <v>652</v>
      </c>
      <c r="C41" s="562" t="s">
        <v>46</v>
      </c>
      <c r="D41" s="564">
        <f>SUM(D42)</f>
        <v>78585.409999999989</v>
      </c>
      <c r="E41" s="564">
        <f>SUM(E42)</f>
        <v>53000</v>
      </c>
      <c r="F41" s="565">
        <f t="shared" ref="F41:G41" si="9">SUM(F42)</f>
        <v>53000</v>
      </c>
      <c r="G41" s="565">
        <f t="shared" si="9"/>
        <v>48280.21</v>
      </c>
    </row>
    <row r="42" spans="1:7" x14ac:dyDescent="0.25">
      <c r="A42" s="511"/>
      <c r="B42" s="511">
        <v>6526</v>
      </c>
      <c r="C42" s="562" t="s">
        <v>47</v>
      </c>
      <c r="D42" s="564">
        <f>SUM(D43:D46)</f>
        <v>78585.409999999989</v>
      </c>
      <c r="E42" s="564">
        <f>SUM(E43:E46)</f>
        <v>53000</v>
      </c>
      <c r="F42" s="565">
        <f t="shared" ref="F42:G42" si="10">SUM(F43:F46)</f>
        <v>53000</v>
      </c>
      <c r="G42" s="565">
        <f t="shared" si="10"/>
        <v>48280.21</v>
      </c>
    </row>
    <row r="43" spans="1:7" x14ac:dyDescent="0.25">
      <c r="A43" s="511"/>
      <c r="B43" s="522">
        <v>65264</v>
      </c>
      <c r="C43" s="563" t="s">
        <v>452</v>
      </c>
      <c r="D43" s="560">
        <f>'Prihodi po ek klas i izvorima'!E43</f>
        <v>51154.92</v>
      </c>
      <c r="E43" s="560">
        <f>'Prihodi po ek klas i izvorima'!F43</f>
        <v>44000</v>
      </c>
      <c r="F43" s="561">
        <f>'Prihodi po ek klas i izvorima'!G43</f>
        <v>44000</v>
      </c>
      <c r="G43" s="561">
        <f>'Prihodi po ek klas i izvorima'!H43</f>
        <v>47712.18</v>
      </c>
    </row>
    <row r="44" spans="1:7" x14ac:dyDescent="0.25">
      <c r="A44" s="511"/>
      <c r="B44" s="522">
        <v>65265</v>
      </c>
      <c r="C44" s="563" t="s">
        <v>608</v>
      </c>
      <c r="D44" s="560">
        <f>'Prihodi po ek klas i izvorima'!E44</f>
        <v>0</v>
      </c>
      <c r="E44" s="560">
        <f>'Prihodi po ek klas i izvorima'!F44</f>
        <v>0</v>
      </c>
      <c r="F44" s="560">
        <f>'Prihodi po ek klas i izvorima'!G44</f>
        <v>0</v>
      </c>
      <c r="G44" s="560">
        <f>'Prihodi po ek klas i izvorima'!H44</f>
        <v>0</v>
      </c>
    </row>
    <row r="45" spans="1:7" x14ac:dyDescent="0.25">
      <c r="A45" s="511"/>
      <c r="B45" s="522">
        <v>65267</v>
      </c>
      <c r="C45" s="563" t="s">
        <v>453</v>
      </c>
      <c r="D45" s="560">
        <f>'Prihodi po ek klas i izvorima'!E85</f>
        <v>8798.23</v>
      </c>
      <c r="E45" s="560">
        <f>'Prihodi po ek klas i izvorima'!F85</f>
        <v>5500</v>
      </c>
      <c r="F45" s="561">
        <f>'Prihodi po ek klas i izvorima'!G85</f>
        <v>5500</v>
      </c>
      <c r="G45" s="561">
        <f>'Prihodi po ek klas i izvorima'!H85</f>
        <v>0</v>
      </c>
    </row>
    <row r="46" spans="1:7" x14ac:dyDescent="0.25">
      <c r="A46" s="511"/>
      <c r="B46" s="522">
        <v>65269</v>
      </c>
      <c r="C46" s="563" t="s">
        <v>454</v>
      </c>
      <c r="D46" s="560">
        <f>'Prihodi po ek klas i izvorima'!E45</f>
        <v>18632.259999999998</v>
      </c>
      <c r="E46" s="560">
        <f>'Prihodi po ek klas i izvorima'!F45</f>
        <v>3500</v>
      </c>
      <c r="F46" s="561">
        <f>'Prihodi po ek klas i izvorima'!G45</f>
        <v>3500</v>
      </c>
      <c r="G46" s="561">
        <f>'Prihodi po ek klas i izvorima'!H45</f>
        <v>568.03</v>
      </c>
    </row>
    <row r="47" spans="1:7" x14ac:dyDescent="0.25">
      <c r="A47" s="511"/>
      <c r="B47" s="529">
        <v>66</v>
      </c>
      <c r="C47" s="569" t="s">
        <v>256</v>
      </c>
      <c r="D47" s="570">
        <f>D48+D53</f>
        <v>144110.86000000002</v>
      </c>
      <c r="E47" s="570">
        <f>E48+E53</f>
        <v>249583.29</v>
      </c>
      <c r="F47" s="571">
        <f>F48+F53</f>
        <v>213416.33</v>
      </c>
      <c r="G47" s="571">
        <f>G48+G53</f>
        <v>137833.68</v>
      </c>
    </row>
    <row r="48" spans="1:7" x14ac:dyDescent="0.25">
      <c r="A48" s="511"/>
      <c r="B48" s="511">
        <v>661</v>
      </c>
      <c r="C48" s="526" t="s">
        <v>257</v>
      </c>
      <c r="D48" s="564">
        <f>SUM(D49:D50)</f>
        <v>140153.61000000002</v>
      </c>
      <c r="E48" s="564">
        <f>SUM(E49:E50)</f>
        <v>199083.29</v>
      </c>
      <c r="F48" s="565">
        <f t="shared" ref="F48:G48" si="11">SUM(F49:F50)</f>
        <v>162916.32999999999</v>
      </c>
      <c r="G48" s="565">
        <f t="shared" si="11"/>
        <v>137833.68</v>
      </c>
    </row>
    <row r="49" spans="1:7" x14ac:dyDescent="0.25">
      <c r="A49" s="522"/>
      <c r="B49" s="511">
        <v>6614</v>
      </c>
      <c r="C49" s="526" t="s">
        <v>258</v>
      </c>
      <c r="D49" s="564">
        <f>'Prihodi po ek klas i izvorima'!E68</f>
        <v>0</v>
      </c>
      <c r="E49" s="564">
        <f>'Prihodi po ek klas i izvorima'!F68</f>
        <v>0</v>
      </c>
      <c r="F49" s="565">
        <f>'Prihodi po ek klas i izvorima'!G68</f>
        <v>0</v>
      </c>
      <c r="G49" s="565">
        <f>'Prihodi po ek klas i izvorima'!H68</f>
        <v>0</v>
      </c>
    </row>
    <row r="50" spans="1:7" x14ac:dyDescent="0.25">
      <c r="A50" s="522"/>
      <c r="B50" s="511">
        <v>6615</v>
      </c>
      <c r="C50" s="526" t="s">
        <v>64</v>
      </c>
      <c r="D50" s="564">
        <f>SUM(D51:D52)</f>
        <v>140153.61000000002</v>
      </c>
      <c r="E50" s="564">
        <f t="shared" ref="E50:G50" si="12">SUM(E51:E52)</f>
        <v>199083.29</v>
      </c>
      <c r="F50" s="564">
        <f t="shared" si="12"/>
        <v>162916.32999999999</v>
      </c>
      <c r="G50" s="564">
        <f t="shared" si="12"/>
        <v>137833.68</v>
      </c>
    </row>
    <row r="51" spans="1:7" x14ac:dyDescent="0.25">
      <c r="A51" s="511"/>
      <c r="B51" s="522">
        <v>66151</v>
      </c>
      <c r="C51" s="563" t="s">
        <v>64</v>
      </c>
      <c r="D51" s="560">
        <f>'Prihodi po ek klas i izvorima'!E70</f>
        <v>139946.23000000001</v>
      </c>
      <c r="E51" s="560">
        <f>'Prihodi po ek klas i izvorima'!F70</f>
        <v>199083.29</v>
      </c>
      <c r="F51" s="561">
        <f>'Prihodi po ek klas i izvorima'!G70</f>
        <v>162916.32999999999</v>
      </c>
      <c r="G51" s="561">
        <f>'Prihodi po ek klas i izvorima'!H70</f>
        <v>137833.68</v>
      </c>
    </row>
    <row r="52" spans="1:7" x14ac:dyDescent="0.25">
      <c r="A52" s="511"/>
      <c r="B52" s="522">
        <v>66153</v>
      </c>
      <c r="C52" s="563" t="s">
        <v>596</v>
      </c>
      <c r="D52" s="560">
        <f>'Prihodi po ek klas i izvorima'!E71</f>
        <v>207.38</v>
      </c>
      <c r="E52" s="560">
        <f>'Prihodi po ek klas i izvorima'!F71</f>
        <v>0</v>
      </c>
      <c r="F52" s="560">
        <f>'Prihodi po ek klas i izvorima'!G71</f>
        <v>0</v>
      </c>
      <c r="G52" s="560">
        <f>'Prihodi po ek klas i izvorima'!H71</f>
        <v>0</v>
      </c>
    </row>
    <row r="53" spans="1:7" x14ac:dyDescent="0.25">
      <c r="A53" s="511"/>
      <c r="B53" s="511">
        <v>663</v>
      </c>
      <c r="C53" s="562" t="s">
        <v>259</v>
      </c>
      <c r="D53" s="564">
        <f>D54+D56</f>
        <v>3957.25</v>
      </c>
      <c r="E53" s="564">
        <f>E54+E56</f>
        <v>50500</v>
      </c>
      <c r="F53" s="565">
        <f t="shared" ref="F53:G53" si="13">F54+F56</f>
        <v>50500</v>
      </c>
      <c r="G53" s="565">
        <f t="shared" si="13"/>
        <v>0</v>
      </c>
    </row>
    <row r="54" spans="1:7" x14ac:dyDescent="0.25">
      <c r="A54" s="511"/>
      <c r="B54" s="511">
        <v>6631</v>
      </c>
      <c r="C54" s="562" t="s">
        <v>68</v>
      </c>
      <c r="D54" s="564">
        <f>SUM(D55)</f>
        <v>3957.25</v>
      </c>
      <c r="E54" s="564">
        <f>SUM(E55)</f>
        <v>50500</v>
      </c>
      <c r="F54" s="565">
        <f t="shared" ref="F54:G54" si="14">SUM(F55)</f>
        <v>50500</v>
      </c>
      <c r="G54" s="565">
        <f t="shared" si="14"/>
        <v>0</v>
      </c>
    </row>
    <row r="55" spans="1:7" x14ac:dyDescent="0.25">
      <c r="A55" s="511"/>
      <c r="B55" s="522">
        <v>66313</v>
      </c>
      <c r="C55" s="563" t="s">
        <v>68</v>
      </c>
      <c r="D55" s="560">
        <f>'Prihodi po ek klas i izvorima'!E79</f>
        <v>3957.25</v>
      </c>
      <c r="E55" s="560">
        <f>'Prihodi po ek klas i izvorima'!F79</f>
        <v>50500</v>
      </c>
      <c r="F55" s="561">
        <f>'Prihodi po ek klas i izvorima'!G79</f>
        <v>50500</v>
      </c>
      <c r="G55" s="561">
        <f>'Prihodi po ek klas i izvorima'!H79</f>
        <v>0</v>
      </c>
    </row>
    <row r="56" spans="1:7" x14ac:dyDescent="0.25">
      <c r="A56" s="511"/>
      <c r="B56" s="511">
        <v>6632</v>
      </c>
      <c r="C56" s="562" t="s">
        <v>70</v>
      </c>
      <c r="D56" s="560">
        <f>'Prihodi po ek klas i izvorima'!E80</f>
        <v>0</v>
      </c>
      <c r="E56" s="560">
        <f>'Prihodi po ek klas i izvorima'!F80</f>
        <v>0</v>
      </c>
      <c r="F56" s="561">
        <f>'Prihodi po ek klas i izvorima'!G80</f>
        <v>0</v>
      </c>
      <c r="G56" s="561">
        <f>'Prihodi po ek klas i izvorima'!H80</f>
        <v>0</v>
      </c>
    </row>
    <row r="57" spans="1:7" x14ac:dyDescent="0.25">
      <c r="A57" s="511"/>
      <c r="B57" s="529">
        <v>67</v>
      </c>
      <c r="C57" s="569" t="s">
        <v>260</v>
      </c>
      <c r="D57" s="570">
        <f>SUM(D58,D63)</f>
        <v>4545915.16</v>
      </c>
      <c r="E57" s="570">
        <f>SUM(E58,E63)</f>
        <v>4268458.3900000006</v>
      </c>
      <c r="F57" s="571">
        <f t="shared" ref="F57:G57" si="15">SUM(F58,F63)</f>
        <v>4507360.68</v>
      </c>
      <c r="G57" s="571">
        <f t="shared" si="15"/>
        <v>4845552.7799999993</v>
      </c>
    </row>
    <row r="58" spans="1:7" x14ac:dyDescent="0.25">
      <c r="A58" s="511"/>
      <c r="B58" s="572">
        <v>671</v>
      </c>
      <c r="C58" s="573" t="s">
        <v>10</v>
      </c>
      <c r="D58" s="574">
        <f>D59+D61</f>
        <v>397160.43000000005</v>
      </c>
      <c r="E58" s="574">
        <f>E59+E61</f>
        <v>369361.73000000004</v>
      </c>
      <c r="F58" s="575">
        <f t="shared" ref="F58:G58" si="16">F59+F61</f>
        <v>608264.02</v>
      </c>
      <c r="G58" s="575">
        <f t="shared" si="16"/>
        <v>618103.51</v>
      </c>
    </row>
    <row r="59" spans="1:7" x14ac:dyDescent="0.25">
      <c r="A59" s="511"/>
      <c r="B59" s="572">
        <v>6711</v>
      </c>
      <c r="C59" s="573" t="s">
        <v>12</v>
      </c>
      <c r="D59" s="574">
        <f>SUM(D60)</f>
        <v>141650.92000000001</v>
      </c>
      <c r="E59" s="574">
        <f>SUM(E60)</f>
        <v>103638.02</v>
      </c>
      <c r="F59" s="575">
        <f t="shared" ref="F59:G59" si="17">SUM(F60)</f>
        <v>342988.02</v>
      </c>
      <c r="G59" s="575">
        <f t="shared" si="17"/>
        <v>352987.51</v>
      </c>
    </row>
    <row r="60" spans="1:7" x14ac:dyDescent="0.25">
      <c r="A60" s="511"/>
      <c r="B60" s="576">
        <v>67111</v>
      </c>
      <c r="C60" s="577" t="s">
        <v>12</v>
      </c>
      <c r="D60" s="578">
        <f>'Prihodi po ek klas i izvorima'!E12</f>
        <v>141650.92000000001</v>
      </c>
      <c r="E60" s="578">
        <f>'Prihodi po ek klas i izvorima'!F12</f>
        <v>103638.02</v>
      </c>
      <c r="F60" s="579">
        <f>'Prihodi po ek klas i izvorima'!G12</f>
        <v>342988.02</v>
      </c>
      <c r="G60" s="579">
        <f>'Prihodi po ek klas i izvorima'!H12</f>
        <v>352987.51</v>
      </c>
    </row>
    <row r="61" spans="1:7" x14ac:dyDescent="0.25">
      <c r="A61" s="511"/>
      <c r="B61" s="572">
        <v>6712</v>
      </c>
      <c r="C61" s="573" t="s">
        <v>14</v>
      </c>
      <c r="D61" s="574">
        <f>SUM(D62)</f>
        <v>255509.51</v>
      </c>
      <c r="E61" s="574">
        <f>SUM(E62)</f>
        <v>265723.71000000002</v>
      </c>
      <c r="F61" s="575">
        <f t="shared" ref="F61:G61" si="18">SUM(F62)</f>
        <v>265276</v>
      </c>
      <c r="G61" s="575">
        <f t="shared" si="18"/>
        <v>265116</v>
      </c>
    </row>
    <row r="62" spans="1:7" x14ac:dyDescent="0.25">
      <c r="A62" s="511"/>
      <c r="B62" s="576">
        <v>67121</v>
      </c>
      <c r="C62" s="577" t="s">
        <v>14</v>
      </c>
      <c r="D62" s="578">
        <f>'Prihodi po ek klas i izvorima'!E14</f>
        <v>255509.51</v>
      </c>
      <c r="E62" s="578">
        <f>'Prihodi po ek klas i izvorima'!F14</f>
        <v>265723.71000000002</v>
      </c>
      <c r="F62" s="579">
        <f>'Prihodi po ek klas i izvorima'!G14</f>
        <v>265276</v>
      </c>
      <c r="G62" s="579">
        <f>'Prihodi po ek klas i izvorima'!H14</f>
        <v>265116</v>
      </c>
    </row>
    <row r="63" spans="1:7" x14ac:dyDescent="0.25">
      <c r="A63" s="511"/>
      <c r="B63" s="511">
        <v>673</v>
      </c>
      <c r="C63" s="562" t="s">
        <v>261</v>
      </c>
      <c r="D63" s="564">
        <f>SUM(D64)</f>
        <v>4148754.73</v>
      </c>
      <c r="E63" s="564">
        <f>SUM(E64)</f>
        <v>3899096.66</v>
      </c>
      <c r="F63" s="565">
        <f t="shared" ref="F63:G63" si="19">SUM(F64)</f>
        <v>3899096.66</v>
      </c>
      <c r="G63" s="565">
        <f t="shared" si="19"/>
        <v>4227449.2699999996</v>
      </c>
    </row>
    <row r="64" spans="1:7" x14ac:dyDescent="0.25">
      <c r="A64" s="511"/>
      <c r="B64" s="511">
        <v>6731</v>
      </c>
      <c r="C64" s="562" t="s">
        <v>49</v>
      </c>
      <c r="D64" s="564">
        <f>D65</f>
        <v>4148754.73</v>
      </c>
      <c r="E64" s="564">
        <f>E65</f>
        <v>3899096.66</v>
      </c>
      <c r="F64" s="565">
        <f t="shared" ref="F64:G64" si="20">F65</f>
        <v>3899096.66</v>
      </c>
      <c r="G64" s="565">
        <f t="shared" si="20"/>
        <v>4227449.2699999996</v>
      </c>
    </row>
    <row r="65" spans="1:7" x14ac:dyDescent="0.25">
      <c r="A65" s="511"/>
      <c r="B65" s="522">
        <v>67311</v>
      </c>
      <c r="C65" s="563" t="s">
        <v>49</v>
      </c>
      <c r="D65" s="560">
        <f>'Prihodi po ek klas i izvorima'!E52</f>
        <v>4148754.73</v>
      </c>
      <c r="E65" s="560">
        <f>'Prihodi po ek klas i izvorima'!F52</f>
        <v>3899096.66</v>
      </c>
      <c r="F65" s="561">
        <f>'Prihodi po ek klas i izvorima'!G52</f>
        <v>3899096.66</v>
      </c>
      <c r="G65" s="561">
        <f>'Prihodi po ek klas i izvorima'!H52</f>
        <v>4227449.2699999996</v>
      </c>
    </row>
    <row r="66" spans="1:7" x14ac:dyDescent="0.25">
      <c r="A66" s="511"/>
      <c r="B66" s="529">
        <v>68</v>
      </c>
      <c r="C66" s="532" t="s">
        <v>52</v>
      </c>
      <c r="D66" s="570">
        <f t="shared" ref="D66:G66" si="21">SUM(D67)</f>
        <v>712.71</v>
      </c>
      <c r="E66" s="570">
        <f t="shared" si="21"/>
        <v>3000</v>
      </c>
      <c r="F66" s="571">
        <f t="shared" si="21"/>
        <v>3000</v>
      </c>
      <c r="G66" s="571">
        <f t="shared" si="21"/>
        <v>340.07</v>
      </c>
    </row>
    <row r="67" spans="1:7" x14ac:dyDescent="0.25">
      <c r="A67" s="511"/>
      <c r="B67" s="511">
        <v>683</v>
      </c>
      <c r="C67" s="562" t="s">
        <v>54</v>
      </c>
      <c r="D67" s="564">
        <f>D68</f>
        <v>712.71</v>
      </c>
      <c r="E67" s="564">
        <f>E68</f>
        <v>3000</v>
      </c>
      <c r="F67" s="565">
        <f t="shared" ref="F67:G68" si="22">F68</f>
        <v>3000</v>
      </c>
      <c r="G67" s="565">
        <f t="shared" si="22"/>
        <v>340.07</v>
      </c>
    </row>
    <row r="68" spans="1:7" x14ac:dyDescent="0.25">
      <c r="A68" s="511"/>
      <c r="B68" s="511">
        <v>6831</v>
      </c>
      <c r="C68" s="562" t="s">
        <v>54</v>
      </c>
      <c r="D68" s="564">
        <f>D69</f>
        <v>712.71</v>
      </c>
      <c r="E68" s="564">
        <f>E69</f>
        <v>3000</v>
      </c>
      <c r="F68" s="565">
        <f t="shared" si="22"/>
        <v>3000</v>
      </c>
      <c r="G68" s="565">
        <f t="shared" si="22"/>
        <v>340.07</v>
      </c>
    </row>
    <row r="69" spans="1:7" x14ac:dyDescent="0.25">
      <c r="A69" s="511"/>
      <c r="B69" s="522">
        <v>68311</v>
      </c>
      <c r="C69" s="563" t="s">
        <v>54</v>
      </c>
      <c r="D69" s="560">
        <f>'Prihodi po ek klas i izvorima'!E56</f>
        <v>712.71</v>
      </c>
      <c r="E69" s="560">
        <f>'Prihodi po ek klas i izvorima'!F56</f>
        <v>3000</v>
      </c>
      <c r="F69" s="561">
        <f>'Prihodi po ek klas i izvorima'!G56</f>
        <v>3000</v>
      </c>
      <c r="G69" s="561">
        <f>'Prihodi po ek klas i izvorima'!H56</f>
        <v>340.07</v>
      </c>
    </row>
    <row r="70" spans="1:7" x14ac:dyDescent="0.25">
      <c r="A70" s="508">
        <v>7</v>
      </c>
      <c r="B70" s="508"/>
      <c r="C70" s="533" t="s">
        <v>75</v>
      </c>
      <c r="D70" s="580">
        <f>SUM(D71)</f>
        <v>0</v>
      </c>
      <c r="E70" s="580">
        <f>SUM(E71)</f>
        <v>0</v>
      </c>
      <c r="F70" s="581">
        <f>SUM(F71)</f>
        <v>800</v>
      </c>
      <c r="G70" s="581">
        <f>SUM(G71)</f>
        <v>800</v>
      </c>
    </row>
    <row r="71" spans="1:7" s="566" customFormat="1" ht="19.5" customHeight="1" x14ac:dyDescent="0.25">
      <c r="A71" s="511"/>
      <c r="B71" s="529">
        <v>72</v>
      </c>
      <c r="C71" s="535" t="s">
        <v>76</v>
      </c>
      <c r="D71" s="570">
        <f>SUM(D72,D74)</f>
        <v>0</v>
      </c>
      <c r="E71" s="570">
        <f>SUM(E72,E74)</f>
        <v>0</v>
      </c>
      <c r="F71" s="571">
        <f>SUM(F72,F74)</f>
        <v>800</v>
      </c>
      <c r="G71" s="571">
        <f>SUM(G72,G74)</f>
        <v>800</v>
      </c>
    </row>
    <row r="72" spans="1:7" x14ac:dyDescent="0.25">
      <c r="A72" s="511"/>
      <c r="B72" s="511">
        <v>721</v>
      </c>
      <c r="C72" s="562" t="s">
        <v>77</v>
      </c>
      <c r="D72" s="564">
        <f>D73</f>
        <v>0</v>
      </c>
      <c r="E72" s="564">
        <f>E73</f>
        <v>0</v>
      </c>
      <c r="F72" s="565">
        <f>F73</f>
        <v>0</v>
      </c>
      <c r="G72" s="565">
        <f>G73</f>
        <v>0</v>
      </c>
    </row>
    <row r="73" spans="1:7" x14ac:dyDescent="0.25">
      <c r="A73" s="511"/>
      <c r="B73" s="511">
        <v>7211</v>
      </c>
      <c r="C73" s="562" t="s">
        <v>78</v>
      </c>
      <c r="D73" s="564">
        <f>'Prihodi po ek klas i izvorima'!E90</f>
        <v>0</v>
      </c>
      <c r="E73" s="564">
        <f>'Prihodi po ek klas i izvorima'!F90</f>
        <v>0</v>
      </c>
      <c r="F73" s="565">
        <v>0</v>
      </c>
      <c r="G73" s="565">
        <v>0</v>
      </c>
    </row>
    <row r="74" spans="1:7" s="557" customFormat="1" x14ac:dyDescent="0.25">
      <c r="A74" s="511"/>
      <c r="B74" s="511">
        <v>723</v>
      </c>
      <c r="C74" s="562" t="s">
        <v>79</v>
      </c>
      <c r="D74" s="564">
        <f>D75</f>
        <v>0</v>
      </c>
      <c r="E74" s="564">
        <f>E75</f>
        <v>0</v>
      </c>
      <c r="F74" s="565">
        <f>F75</f>
        <v>800</v>
      </c>
      <c r="G74" s="565">
        <f>G75</f>
        <v>800</v>
      </c>
    </row>
    <row r="75" spans="1:7" x14ac:dyDescent="0.25">
      <c r="A75" s="511"/>
      <c r="B75" s="511">
        <v>7231</v>
      </c>
      <c r="C75" s="562" t="s">
        <v>80</v>
      </c>
      <c r="D75" s="564">
        <f>'Prihodi po ek klas i izvorima'!E92</f>
        <v>0</v>
      </c>
      <c r="E75" s="564">
        <f>'Prihodi po ek klas i izvorima'!F92</f>
        <v>0</v>
      </c>
      <c r="F75" s="565">
        <f>F76</f>
        <v>800</v>
      </c>
      <c r="G75" s="565">
        <f>G76</f>
        <v>800</v>
      </c>
    </row>
    <row r="76" spans="1:7" x14ac:dyDescent="0.25">
      <c r="A76" s="549"/>
      <c r="B76" s="511">
        <v>72313</v>
      </c>
      <c r="C76" s="582" t="s">
        <v>607</v>
      </c>
      <c r="D76" s="561">
        <f>'Prihodi po ek klas i izvorima'!E93</f>
        <v>0</v>
      </c>
      <c r="E76" s="561">
        <f>'Prihodi po ek klas i izvorima'!F93</f>
        <v>0</v>
      </c>
      <c r="F76" s="561">
        <f>'Prihodi po ek klas i izvorima'!G93</f>
        <v>800</v>
      </c>
      <c r="G76" s="561">
        <f>'Prihodi po ek klas i izvorima'!H93</f>
        <v>800</v>
      </c>
    </row>
    <row r="77" spans="1:7" x14ac:dyDescent="0.25">
      <c r="A77" s="789" t="s">
        <v>262</v>
      </c>
      <c r="B77" s="790"/>
      <c r="C77" s="791"/>
      <c r="D77" s="583">
        <f>D10+D70</f>
        <v>5100997.3</v>
      </c>
      <c r="E77" s="583">
        <f>E10+E70</f>
        <v>4702255.6300000008</v>
      </c>
      <c r="F77" s="584">
        <f>F10+F70</f>
        <v>5292700.84</v>
      </c>
      <c r="G77" s="584">
        <f>G10+G70</f>
        <v>5342526.1499999994</v>
      </c>
    </row>
  </sheetData>
  <mergeCells count="6">
    <mergeCell ref="A77:C77"/>
    <mergeCell ref="A2:G2"/>
    <mergeCell ref="A4:G4"/>
    <mergeCell ref="A6:G6"/>
    <mergeCell ref="B7:G7"/>
    <mergeCell ref="A8:G8"/>
  </mergeCells>
  <pageMargins left="0.7" right="0.7" top="0.75" bottom="0.75" header="0.3" footer="0.3"/>
  <pageSetup paperSize="9" scale="4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51"/>
  <sheetViews>
    <sheetView workbookViewId="0">
      <selection activeCell="E6" sqref="D1:E1048576"/>
    </sheetView>
  </sheetViews>
  <sheetFormatPr defaultRowHeight="15.75" x14ac:dyDescent="0.25"/>
  <cols>
    <col min="1" max="1" width="9.140625" style="502"/>
    <col min="2" max="2" width="9.140625" style="538"/>
    <col min="3" max="3" width="59.42578125" style="538" bestFit="1" customWidth="1"/>
    <col min="4" max="4" width="24.85546875" style="538" bestFit="1" customWidth="1"/>
    <col min="5" max="5" width="21.85546875" style="539" bestFit="1" customWidth="1"/>
    <col min="6" max="6" width="20.28515625" style="539" bestFit="1" customWidth="1"/>
    <col min="7" max="7" width="24.28515625" style="538" customWidth="1"/>
    <col min="8" max="256" width="9.140625" style="406"/>
    <col min="257" max="257" width="55.28515625" style="406" bestFit="1" customWidth="1"/>
    <col min="258" max="258" width="0" style="406" hidden="1" customWidth="1"/>
    <col min="259" max="259" width="21.85546875" style="406" bestFit="1" customWidth="1"/>
    <col min="260" max="260" width="0" style="406" hidden="1" customWidth="1"/>
    <col min="261" max="261" width="21.42578125" style="406" customWidth="1"/>
    <col min="262" max="262" width="10" style="406" bestFit="1" customWidth="1"/>
    <col min="263" max="263" width="0" style="406" hidden="1" customWidth="1"/>
    <col min="264" max="512" width="9.140625" style="406"/>
    <col min="513" max="513" width="55.28515625" style="406" bestFit="1" customWidth="1"/>
    <col min="514" max="514" width="0" style="406" hidden="1" customWidth="1"/>
    <col min="515" max="515" width="21.85546875" style="406" bestFit="1" customWidth="1"/>
    <col min="516" max="516" width="0" style="406" hidden="1" customWidth="1"/>
    <col min="517" max="517" width="21.42578125" style="406" customWidth="1"/>
    <col min="518" max="518" width="10" style="406" bestFit="1" customWidth="1"/>
    <col min="519" max="519" width="0" style="406" hidden="1" customWidth="1"/>
    <col min="520" max="768" width="9.140625" style="406"/>
    <col min="769" max="769" width="55.28515625" style="406" bestFit="1" customWidth="1"/>
    <col min="770" max="770" width="0" style="406" hidden="1" customWidth="1"/>
    <col min="771" max="771" width="21.85546875" style="406" bestFit="1" customWidth="1"/>
    <col min="772" max="772" width="0" style="406" hidden="1" customWidth="1"/>
    <col min="773" max="773" width="21.42578125" style="406" customWidth="1"/>
    <col min="774" max="774" width="10" style="406" bestFit="1" customWidth="1"/>
    <col min="775" max="775" width="0" style="406" hidden="1" customWidth="1"/>
    <col min="776" max="1024" width="9.140625" style="406"/>
    <col min="1025" max="1025" width="55.28515625" style="406" bestFit="1" customWidth="1"/>
    <col min="1026" max="1026" width="0" style="406" hidden="1" customWidth="1"/>
    <col min="1027" max="1027" width="21.85546875" style="406" bestFit="1" customWidth="1"/>
    <col min="1028" max="1028" width="0" style="406" hidden="1" customWidth="1"/>
    <col min="1029" max="1029" width="21.42578125" style="406" customWidth="1"/>
    <col min="1030" max="1030" width="10" style="406" bestFit="1" customWidth="1"/>
    <col min="1031" max="1031" width="0" style="406" hidden="1" customWidth="1"/>
    <col min="1032" max="1280" width="9.140625" style="406"/>
    <col min="1281" max="1281" width="55.28515625" style="406" bestFit="1" customWidth="1"/>
    <col min="1282" max="1282" width="0" style="406" hidden="1" customWidth="1"/>
    <col min="1283" max="1283" width="21.85546875" style="406" bestFit="1" customWidth="1"/>
    <col min="1284" max="1284" width="0" style="406" hidden="1" customWidth="1"/>
    <col min="1285" max="1285" width="21.42578125" style="406" customWidth="1"/>
    <col min="1286" max="1286" width="10" style="406" bestFit="1" customWidth="1"/>
    <col min="1287" max="1287" width="0" style="406" hidden="1" customWidth="1"/>
    <col min="1288" max="1536" width="9.140625" style="406"/>
    <col min="1537" max="1537" width="55.28515625" style="406" bestFit="1" customWidth="1"/>
    <col min="1538" max="1538" width="0" style="406" hidden="1" customWidth="1"/>
    <col min="1539" max="1539" width="21.85546875" style="406" bestFit="1" customWidth="1"/>
    <col min="1540" max="1540" width="0" style="406" hidden="1" customWidth="1"/>
    <col min="1541" max="1541" width="21.42578125" style="406" customWidth="1"/>
    <col min="1542" max="1542" width="10" style="406" bestFit="1" customWidth="1"/>
    <col min="1543" max="1543" width="0" style="406" hidden="1" customWidth="1"/>
    <col min="1544" max="1792" width="9.140625" style="406"/>
    <col min="1793" max="1793" width="55.28515625" style="406" bestFit="1" customWidth="1"/>
    <col min="1794" max="1794" width="0" style="406" hidden="1" customWidth="1"/>
    <col min="1795" max="1795" width="21.85546875" style="406" bestFit="1" customWidth="1"/>
    <col min="1796" max="1796" width="0" style="406" hidden="1" customWidth="1"/>
    <col min="1797" max="1797" width="21.42578125" style="406" customWidth="1"/>
    <col min="1798" max="1798" width="10" style="406" bestFit="1" customWidth="1"/>
    <col min="1799" max="1799" width="0" style="406" hidden="1" customWidth="1"/>
    <col min="1800" max="2048" width="9.140625" style="406"/>
    <col min="2049" max="2049" width="55.28515625" style="406" bestFit="1" customWidth="1"/>
    <col min="2050" max="2050" width="0" style="406" hidden="1" customWidth="1"/>
    <col min="2051" max="2051" width="21.85546875" style="406" bestFit="1" customWidth="1"/>
    <col min="2052" max="2052" width="0" style="406" hidden="1" customWidth="1"/>
    <col min="2053" max="2053" width="21.42578125" style="406" customWidth="1"/>
    <col min="2054" max="2054" width="10" style="406" bestFit="1" customWidth="1"/>
    <col min="2055" max="2055" width="0" style="406" hidden="1" customWidth="1"/>
    <col min="2056" max="2304" width="9.140625" style="406"/>
    <col min="2305" max="2305" width="55.28515625" style="406" bestFit="1" customWidth="1"/>
    <col min="2306" max="2306" width="0" style="406" hidden="1" customWidth="1"/>
    <col min="2307" max="2307" width="21.85546875" style="406" bestFit="1" customWidth="1"/>
    <col min="2308" max="2308" width="0" style="406" hidden="1" customWidth="1"/>
    <col min="2309" max="2309" width="21.42578125" style="406" customWidth="1"/>
    <col min="2310" max="2310" width="10" style="406" bestFit="1" customWidth="1"/>
    <col min="2311" max="2311" width="0" style="406" hidden="1" customWidth="1"/>
    <col min="2312" max="2560" width="9.140625" style="406"/>
    <col min="2561" max="2561" width="55.28515625" style="406" bestFit="1" customWidth="1"/>
    <col min="2562" max="2562" width="0" style="406" hidden="1" customWidth="1"/>
    <col min="2563" max="2563" width="21.85546875" style="406" bestFit="1" customWidth="1"/>
    <col min="2564" max="2564" width="0" style="406" hidden="1" customWidth="1"/>
    <col min="2565" max="2565" width="21.42578125" style="406" customWidth="1"/>
    <col min="2566" max="2566" width="10" style="406" bestFit="1" customWidth="1"/>
    <col min="2567" max="2567" width="0" style="406" hidden="1" customWidth="1"/>
    <col min="2568" max="2816" width="9.140625" style="406"/>
    <col min="2817" max="2817" width="55.28515625" style="406" bestFit="1" customWidth="1"/>
    <col min="2818" max="2818" width="0" style="406" hidden="1" customWidth="1"/>
    <col min="2819" max="2819" width="21.85546875" style="406" bestFit="1" customWidth="1"/>
    <col min="2820" max="2820" width="0" style="406" hidden="1" customWidth="1"/>
    <col min="2821" max="2821" width="21.42578125" style="406" customWidth="1"/>
    <col min="2822" max="2822" width="10" style="406" bestFit="1" customWidth="1"/>
    <col min="2823" max="2823" width="0" style="406" hidden="1" customWidth="1"/>
    <col min="2824" max="3072" width="9.140625" style="406"/>
    <col min="3073" max="3073" width="55.28515625" style="406" bestFit="1" customWidth="1"/>
    <col min="3074" max="3074" width="0" style="406" hidden="1" customWidth="1"/>
    <col min="3075" max="3075" width="21.85546875" style="406" bestFit="1" customWidth="1"/>
    <col min="3076" max="3076" width="0" style="406" hidden="1" customWidth="1"/>
    <col min="3077" max="3077" width="21.42578125" style="406" customWidth="1"/>
    <col min="3078" max="3078" width="10" style="406" bestFit="1" customWidth="1"/>
    <col min="3079" max="3079" width="0" style="406" hidden="1" customWidth="1"/>
    <col min="3080" max="3328" width="9.140625" style="406"/>
    <col min="3329" max="3329" width="55.28515625" style="406" bestFit="1" customWidth="1"/>
    <col min="3330" max="3330" width="0" style="406" hidden="1" customWidth="1"/>
    <col min="3331" max="3331" width="21.85546875" style="406" bestFit="1" customWidth="1"/>
    <col min="3332" max="3332" width="0" style="406" hidden="1" customWidth="1"/>
    <col min="3333" max="3333" width="21.42578125" style="406" customWidth="1"/>
    <col min="3334" max="3334" width="10" style="406" bestFit="1" customWidth="1"/>
    <col min="3335" max="3335" width="0" style="406" hidden="1" customWidth="1"/>
    <col min="3336" max="3584" width="9.140625" style="406"/>
    <col min="3585" max="3585" width="55.28515625" style="406" bestFit="1" customWidth="1"/>
    <col min="3586" max="3586" width="0" style="406" hidden="1" customWidth="1"/>
    <col min="3587" max="3587" width="21.85546875" style="406" bestFit="1" customWidth="1"/>
    <col min="3588" max="3588" width="0" style="406" hidden="1" customWidth="1"/>
    <col min="3589" max="3589" width="21.42578125" style="406" customWidth="1"/>
    <col min="3590" max="3590" width="10" style="406" bestFit="1" customWidth="1"/>
    <col min="3591" max="3591" width="0" style="406" hidden="1" customWidth="1"/>
    <col min="3592" max="3840" width="9.140625" style="406"/>
    <col min="3841" max="3841" width="55.28515625" style="406" bestFit="1" customWidth="1"/>
    <col min="3842" max="3842" width="0" style="406" hidden="1" customWidth="1"/>
    <col min="3843" max="3843" width="21.85546875" style="406" bestFit="1" customWidth="1"/>
    <col min="3844" max="3844" width="0" style="406" hidden="1" customWidth="1"/>
    <col min="3845" max="3845" width="21.42578125" style="406" customWidth="1"/>
    <col min="3846" max="3846" width="10" style="406" bestFit="1" customWidth="1"/>
    <col min="3847" max="3847" width="0" style="406" hidden="1" customWidth="1"/>
    <col min="3848" max="4096" width="9.140625" style="406"/>
    <col min="4097" max="4097" width="55.28515625" style="406" bestFit="1" customWidth="1"/>
    <col min="4098" max="4098" width="0" style="406" hidden="1" customWidth="1"/>
    <col min="4099" max="4099" width="21.85546875" style="406" bestFit="1" customWidth="1"/>
    <col min="4100" max="4100" width="0" style="406" hidden="1" customWidth="1"/>
    <col min="4101" max="4101" width="21.42578125" style="406" customWidth="1"/>
    <col min="4102" max="4102" width="10" style="406" bestFit="1" customWidth="1"/>
    <col min="4103" max="4103" width="0" style="406" hidden="1" customWidth="1"/>
    <col min="4104" max="4352" width="9.140625" style="406"/>
    <col min="4353" max="4353" width="55.28515625" style="406" bestFit="1" customWidth="1"/>
    <col min="4354" max="4354" width="0" style="406" hidden="1" customWidth="1"/>
    <col min="4355" max="4355" width="21.85546875" style="406" bestFit="1" customWidth="1"/>
    <col min="4356" max="4356" width="0" style="406" hidden="1" customWidth="1"/>
    <col min="4357" max="4357" width="21.42578125" style="406" customWidth="1"/>
    <col min="4358" max="4358" width="10" style="406" bestFit="1" customWidth="1"/>
    <col min="4359" max="4359" width="0" style="406" hidden="1" customWidth="1"/>
    <col min="4360" max="4608" width="9.140625" style="406"/>
    <col min="4609" max="4609" width="55.28515625" style="406" bestFit="1" customWidth="1"/>
    <col min="4610" max="4610" width="0" style="406" hidden="1" customWidth="1"/>
    <col min="4611" max="4611" width="21.85546875" style="406" bestFit="1" customWidth="1"/>
    <col min="4612" max="4612" width="0" style="406" hidden="1" customWidth="1"/>
    <col min="4613" max="4613" width="21.42578125" style="406" customWidth="1"/>
    <col min="4614" max="4614" width="10" style="406" bestFit="1" customWidth="1"/>
    <col min="4615" max="4615" width="0" style="406" hidden="1" customWidth="1"/>
    <col min="4616" max="4864" width="9.140625" style="406"/>
    <col min="4865" max="4865" width="55.28515625" style="406" bestFit="1" customWidth="1"/>
    <col min="4866" max="4866" width="0" style="406" hidden="1" customWidth="1"/>
    <col min="4867" max="4867" width="21.85546875" style="406" bestFit="1" customWidth="1"/>
    <col min="4868" max="4868" width="0" style="406" hidden="1" customWidth="1"/>
    <col min="4869" max="4869" width="21.42578125" style="406" customWidth="1"/>
    <col min="4870" max="4870" width="10" style="406" bestFit="1" customWidth="1"/>
    <col min="4871" max="4871" width="0" style="406" hidden="1" customWidth="1"/>
    <col min="4872" max="5120" width="9.140625" style="406"/>
    <col min="5121" max="5121" width="55.28515625" style="406" bestFit="1" customWidth="1"/>
    <col min="5122" max="5122" width="0" style="406" hidden="1" customWidth="1"/>
    <col min="5123" max="5123" width="21.85546875" style="406" bestFit="1" customWidth="1"/>
    <col min="5124" max="5124" width="0" style="406" hidden="1" customWidth="1"/>
    <col min="5125" max="5125" width="21.42578125" style="406" customWidth="1"/>
    <col min="5126" max="5126" width="10" style="406" bestFit="1" customWidth="1"/>
    <col min="5127" max="5127" width="0" style="406" hidden="1" customWidth="1"/>
    <col min="5128" max="5376" width="9.140625" style="406"/>
    <col min="5377" max="5377" width="55.28515625" style="406" bestFit="1" customWidth="1"/>
    <col min="5378" max="5378" width="0" style="406" hidden="1" customWidth="1"/>
    <col min="5379" max="5379" width="21.85546875" style="406" bestFit="1" customWidth="1"/>
    <col min="5380" max="5380" width="0" style="406" hidden="1" customWidth="1"/>
    <col min="5381" max="5381" width="21.42578125" style="406" customWidth="1"/>
    <col min="5382" max="5382" width="10" style="406" bestFit="1" customWidth="1"/>
    <col min="5383" max="5383" width="0" style="406" hidden="1" customWidth="1"/>
    <col min="5384" max="5632" width="9.140625" style="406"/>
    <col min="5633" max="5633" width="55.28515625" style="406" bestFit="1" customWidth="1"/>
    <col min="5634" max="5634" width="0" style="406" hidden="1" customWidth="1"/>
    <col min="5635" max="5635" width="21.85546875" style="406" bestFit="1" customWidth="1"/>
    <col min="5636" max="5636" width="0" style="406" hidden="1" customWidth="1"/>
    <col min="5637" max="5637" width="21.42578125" style="406" customWidth="1"/>
    <col min="5638" max="5638" width="10" style="406" bestFit="1" customWidth="1"/>
    <col min="5639" max="5639" width="0" style="406" hidden="1" customWidth="1"/>
    <col min="5640" max="5888" width="9.140625" style="406"/>
    <col min="5889" max="5889" width="55.28515625" style="406" bestFit="1" customWidth="1"/>
    <col min="5890" max="5890" width="0" style="406" hidden="1" customWidth="1"/>
    <col min="5891" max="5891" width="21.85546875" style="406" bestFit="1" customWidth="1"/>
    <col min="5892" max="5892" width="0" style="406" hidden="1" customWidth="1"/>
    <col min="5893" max="5893" width="21.42578125" style="406" customWidth="1"/>
    <col min="5894" max="5894" width="10" style="406" bestFit="1" customWidth="1"/>
    <col min="5895" max="5895" width="0" style="406" hidden="1" customWidth="1"/>
    <col min="5896" max="6144" width="9.140625" style="406"/>
    <col min="6145" max="6145" width="55.28515625" style="406" bestFit="1" customWidth="1"/>
    <col min="6146" max="6146" width="0" style="406" hidden="1" customWidth="1"/>
    <col min="6147" max="6147" width="21.85546875" style="406" bestFit="1" customWidth="1"/>
    <col min="6148" max="6148" width="0" style="406" hidden="1" customWidth="1"/>
    <col min="6149" max="6149" width="21.42578125" style="406" customWidth="1"/>
    <col min="6150" max="6150" width="10" style="406" bestFit="1" customWidth="1"/>
    <col min="6151" max="6151" width="0" style="406" hidden="1" customWidth="1"/>
    <col min="6152" max="6400" width="9.140625" style="406"/>
    <col min="6401" max="6401" width="55.28515625" style="406" bestFit="1" customWidth="1"/>
    <col min="6402" max="6402" width="0" style="406" hidden="1" customWidth="1"/>
    <col min="6403" max="6403" width="21.85546875" style="406" bestFit="1" customWidth="1"/>
    <col min="6404" max="6404" width="0" style="406" hidden="1" customWidth="1"/>
    <col min="6405" max="6405" width="21.42578125" style="406" customWidth="1"/>
    <col min="6406" max="6406" width="10" style="406" bestFit="1" customWidth="1"/>
    <col min="6407" max="6407" width="0" style="406" hidden="1" customWidth="1"/>
    <col min="6408" max="6656" width="9.140625" style="406"/>
    <col min="6657" max="6657" width="55.28515625" style="406" bestFit="1" customWidth="1"/>
    <col min="6658" max="6658" width="0" style="406" hidden="1" customWidth="1"/>
    <col min="6659" max="6659" width="21.85546875" style="406" bestFit="1" customWidth="1"/>
    <col min="6660" max="6660" width="0" style="406" hidden="1" customWidth="1"/>
    <col min="6661" max="6661" width="21.42578125" style="406" customWidth="1"/>
    <col min="6662" max="6662" width="10" style="406" bestFit="1" customWidth="1"/>
    <col min="6663" max="6663" width="0" style="406" hidden="1" customWidth="1"/>
    <col min="6664" max="6912" width="9.140625" style="406"/>
    <col min="6913" max="6913" width="55.28515625" style="406" bestFit="1" customWidth="1"/>
    <col min="6914" max="6914" width="0" style="406" hidden="1" customWidth="1"/>
    <col min="6915" max="6915" width="21.85546875" style="406" bestFit="1" customWidth="1"/>
    <col min="6916" max="6916" width="0" style="406" hidden="1" customWidth="1"/>
    <col min="6917" max="6917" width="21.42578125" style="406" customWidth="1"/>
    <col min="6918" max="6918" width="10" style="406" bestFit="1" customWidth="1"/>
    <col min="6919" max="6919" width="0" style="406" hidden="1" customWidth="1"/>
    <col min="6920" max="7168" width="9.140625" style="406"/>
    <col min="7169" max="7169" width="55.28515625" style="406" bestFit="1" customWidth="1"/>
    <col min="7170" max="7170" width="0" style="406" hidden="1" customWidth="1"/>
    <col min="7171" max="7171" width="21.85546875" style="406" bestFit="1" customWidth="1"/>
    <col min="7172" max="7172" width="0" style="406" hidden="1" customWidth="1"/>
    <col min="7173" max="7173" width="21.42578125" style="406" customWidth="1"/>
    <col min="7174" max="7174" width="10" style="406" bestFit="1" customWidth="1"/>
    <col min="7175" max="7175" width="0" style="406" hidden="1" customWidth="1"/>
    <col min="7176" max="7424" width="9.140625" style="406"/>
    <col min="7425" max="7425" width="55.28515625" style="406" bestFit="1" customWidth="1"/>
    <col min="7426" max="7426" width="0" style="406" hidden="1" customWidth="1"/>
    <col min="7427" max="7427" width="21.85546875" style="406" bestFit="1" customWidth="1"/>
    <col min="7428" max="7428" width="0" style="406" hidden="1" customWidth="1"/>
    <col min="7429" max="7429" width="21.42578125" style="406" customWidth="1"/>
    <col min="7430" max="7430" width="10" style="406" bestFit="1" customWidth="1"/>
    <col min="7431" max="7431" width="0" style="406" hidden="1" customWidth="1"/>
    <col min="7432" max="7680" width="9.140625" style="406"/>
    <col min="7681" max="7681" width="55.28515625" style="406" bestFit="1" customWidth="1"/>
    <col min="7682" max="7682" width="0" style="406" hidden="1" customWidth="1"/>
    <col min="7683" max="7683" width="21.85546875" style="406" bestFit="1" customWidth="1"/>
    <col min="7684" max="7684" width="0" style="406" hidden="1" customWidth="1"/>
    <col min="7685" max="7685" width="21.42578125" style="406" customWidth="1"/>
    <col min="7686" max="7686" width="10" style="406" bestFit="1" customWidth="1"/>
    <col min="7687" max="7687" width="0" style="406" hidden="1" customWidth="1"/>
    <col min="7688" max="7936" width="9.140625" style="406"/>
    <col min="7937" max="7937" width="55.28515625" style="406" bestFit="1" customWidth="1"/>
    <col min="7938" max="7938" width="0" style="406" hidden="1" customWidth="1"/>
    <col min="7939" max="7939" width="21.85546875" style="406" bestFit="1" customWidth="1"/>
    <col min="7940" max="7940" width="0" style="406" hidden="1" customWidth="1"/>
    <col min="7941" max="7941" width="21.42578125" style="406" customWidth="1"/>
    <col min="7942" max="7942" width="10" style="406" bestFit="1" customWidth="1"/>
    <col min="7943" max="7943" width="0" style="406" hidden="1" customWidth="1"/>
    <col min="7944" max="8192" width="9.140625" style="406"/>
    <col min="8193" max="8193" width="55.28515625" style="406" bestFit="1" customWidth="1"/>
    <col min="8194" max="8194" width="0" style="406" hidden="1" customWidth="1"/>
    <col min="8195" max="8195" width="21.85546875" style="406" bestFit="1" customWidth="1"/>
    <col min="8196" max="8196" width="0" style="406" hidden="1" customWidth="1"/>
    <col min="8197" max="8197" width="21.42578125" style="406" customWidth="1"/>
    <col min="8198" max="8198" width="10" style="406" bestFit="1" customWidth="1"/>
    <col min="8199" max="8199" width="0" style="406" hidden="1" customWidth="1"/>
    <col min="8200" max="8448" width="9.140625" style="406"/>
    <col min="8449" max="8449" width="55.28515625" style="406" bestFit="1" customWidth="1"/>
    <col min="8450" max="8450" width="0" style="406" hidden="1" customWidth="1"/>
    <col min="8451" max="8451" width="21.85546875" style="406" bestFit="1" customWidth="1"/>
    <col min="8452" max="8452" width="0" style="406" hidden="1" customWidth="1"/>
    <col min="8453" max="8453" width="21.42578125" style="406" customWidth="1"/>
    <col min="8454" max="8454" width="10" style="406" bestFit="1" customWidth="1"/>
    <col min="8455" max="8455" width="0" style="406" hidden="1" customWidth="1"/>
    <col min="8456" max="8704" width="9.140625" style="406"/>
    <col min="8705" max="8705" width="55.28515625" style="406" bestFit="1" customWidth="1"/>
    <col min="8706" max="8706" width="0" style="406" hidden="1" customWidth="1"/>
    <col min="8707" max="8707" width="21.85546875" style="406" bestFit="1" customWidth="1"/>
    <col min="8708" max="8708" width="0" style="406" hidden="1" customWidth="1"/>
    <col min="8709" max="8709" width="21.42578125" style="406" customWidth="1"/>
    <col min="8710" max="8710" width="10" style="406" bestFit="1" customWidth="1"/>
    <col min="8711" max="8711" width="0" style="406" hidden="1" customWidth="1"/>
    <col min="8712" max="8960" width="9.140625" style="406"/>
    <col min="8961" max="8961" width="55.28515625" style="406" bestFit="1" customWidth="1"/>
    <col min="8962" max="8962" width="0" style="406" hidden="1" customWidth="1"/>
    <col min="8963" max="8963" width="21.85546875" style="406" bestFit="1" customWidth="1"/>
    <col min="8964" max="8964" width="0" style="406" hidden="1" customWidth="1"/>
    <col min="8965" max="8965" width="21.42578125" style="406" customWidth="1"/>
    <col min="8966" max="8966" width="10" style="406" bestFit="1" customWidth="1"/>
    <col min="8967" max="8967" width="0" style="406" hidden="1" customWidth="1"/>
    <col min="8968" max="9216" width="9.140625" style="406"/>
    <col min="9217" max="9217" width="55.28515625" style="406" bestFit="1" customWidth="1"/>
    <col min="9218" max="9218" width="0" style="406" hidden="1" customWidth="1"/>
    <col min="9219" max="9219" width="21.85546875" style="406" bestFit="1" customWidth="1"/>
    <col min="9220" max="9220" width="0" style="406" hidden="1" customWidth="1"/>
    <col min="9221" max="9221" width="21.42578125" style="406" customWidth="1"/>
    <col min="9222" max="9222" width="10" style="406" bestFit="1" customWidth="1"/>
    <col min="9223" max="9223" width="0" style="406" hidden="1" customWidth="1"/>
    <col min="9224" max="9472" width="9.140625" style="406"/>
    <col min="9473" max="9473" width="55.28515625" style="406" bestFit="1" customWidth="1"/>
    <col min="9474" max="9474" width="0" style="406" hidden="1" customWidth="1"/>
    <col min="9475" max="9475" width="21.85546875" style="406" bestFit="1" customWidth="1"/>
    <col min="9476" max="9476" width="0" style="406" hidden="1" customWidth="1"/>
    <col min="9477" max="9477" width="21.42578125" style="406" customWidth="1"/>
    <col min="9478" max="9478" width="10" style="406" bestFit="1" customWidth="1"/>
    <col min="9479" max="9479" width="0" style="406" hidden="1" customWidth="1"/>
    <col min="9480" max="9728" width="9.140625" style="406"/>
    <col min="9729" max="9729" width="55.28515625" style="406" bestFit="1" customWidth="1"/>
    <col min="9730" max="9730" width="0" style="406" hidden="1" customWidth="1"/>
    <col min="9731" max="9731" width="21.85546875" style="406" bestFit="1" customWidth="1"/>
    <col min="9732" max="9732" width="0" style="406" hidden="1" customWidth="1"/>
    <col min="9733" max="9733" width="21.42578125" style="406" customWidth="1"/>
    <col min="9734" max="9734" width="10" style="406" bestFit="1" customWidth="1"/>
    <col min="9735" max="9735" width="0" style="406" hidden="1" customWidth="1"/>
    <col min="9736" max="9984" width="9.140625" style="406"/>
    <col min="9985" max="9985" width="55.28515625" style="406" bestFit="1" customWidth="1"/>
    <col min="9986" max="9986" width="0" style="406" hidden="1" customWidth="1"/>
    <col min="9987" max="9987" width="21.85546875" style="406" bestFit="1" customWidth="1"/>
    <col min="9988" max="9988" width="0" style="406" hidden="1" customWidth="1"/>
    <col min="9989" max="9989" width="21.42578125" style="406" customWidth="1"/>
    <col min="9990" max="9990" width="10" style="406" bestFit="1" customWidth="1"/>
    <col min="9991" max="9991" width="0" style="406" hidden="1" customWidth="1"/>
    <col min="9992" max="10240" width="9.140625" style="406"/>
    <col min="10241" max="10241" width="55.28515625" style="406" bestFit="1" customWidth="1"/>
    <col min="10242" max="10242" width="0" style="406" hidden="1" customWidth="1"/>
    <col min="10243" max="10243" width="21.85546875" style="406" bestFit="1" customWidth="1"/>
    <col min="10244" max="10244" width="0" style="406" hidden="1" customWidth="1"/>
    <col min="10245" max="10245" width="21.42578125" style="406" customWidth="1"/>
    <col min="10246" max="10246" width="10" style="406" bestFit="1" customWidth="1"/>
    <col min="10247" max="10247" width="0" style="406" hidden="1" customWidth="1"/>
    <col min="10248" max="10496" width="9.140625" style="406"/>
    <col min="10497" max="10497" width="55.28515625" style="406" bestFit="1" customWidth="1"/>
    <col min="10498" max="10498" width="0" style="406" hidden="1" customWidth="1"/>
    <col min="10499" max="10499" width="21.85546875" style="406" bestFit="1" customWidth="1"/>
    <col min="10500" max="10500" width="0" style="406" hidden="1" customWidth="1"/>
    <col min="10501" max="10501" width="21.42578125" style="406" customWidth="1"/>
    <col min="10502" max="10502" width="10" style="406" bestFit="1" customWidth="1"/>
    <col min="10503" max="10503" width="0" style="406" hidden="1" customWidth="1"/>
    <col min="10504" max="10752" width="9.140625" style="406"/>
    <col min="10753" max="10753" width="55.28515625" style="406" bestFit="1" customWidth="1"/>
    <col min="10754" max="10754" width="0" style="406" hidden="1" customWidth="1"/>
    <col min="10755" max="10755" width="21.85546875" style="406" bestFit="1" customWidth="1"/>
    <col min="10756" max="10756" width="0" style="406" hidden="1" customWidth="1"/>
    <col min="10757" max="10757" width="21.42578125" style="406" customWidth="1"/>
    <col min="10758" max="10758" width="10" style="406" bestFit="1" customWidth="1"/>
    <col min="10759" max="10759" width="0" style="406" hidden="1" customWidth="1"/>
    <col min="10760" max="11008" width="9.140625" style="406"/>
    <col min="11009" max="11009" width="55.28515625" style="406" bestFit="1" customWidth="1"/>
    <col min="11010" max="11010" width="0" style="406" hidden="1" customWidth="1"/>
    <col min="11011" max="11011" width="21.85546875" style="406" bestFit="1" customWidth="1"/>
    <col min="11012" max="11012" width="0" style="406" hidden="1" customWidth="1"/>
    <col min="11013" max="11013" width="21.42578125" style="406" customWidth="1"/>
    <col min="11014" max="11014" width="10" style="406" bestFit="1" customWidth="1"/>
    <col min="11015" max="11015" width="0" style="406" hidden="1" customWidth="1"/>
    <col min="11016" max="11264" width="9.140625" style="406"/>
    <col min="11265" max="11265" width="55.28515625" style="406" bestFit="1" customWidth="1"/>
    <col min="11266" max="11266" width="0" style="406" hidden="1" customWidth="1"/>
    <col min="11267" max="11267" width="21.85546875" style="406" bestFit="1" customWidth="1"/>
    <col min="11268" max="11268" width="0" style="406" hidden="1" customWidth="1"/>
    <col min="11269" max="11269" width="21.42578125" style="406" customWidth="1"/>
    <col min="11270" max="11270" width="10" style="406" bestFit="1" customWidth="1"/>
    <col min="11271" max="11271" width="0" style="406" hidden="1" customWidth="1"/>
    <col min="11272" max="11520" width="9.140625" style="406"/>
    <col min="11521" max="11521" width="55.28515625" style="406" bestFit="1" customWidth="1"/>
    <col min="11522" max="11522" width="0" style="406" hidden="1" customWidth="1"/>
    <col min="11523" max="11523" width="21.85546875" style="406" bestFit="1" customWidth="1"/>
    <col min="11524" max="11524" width="0" style="406" hidden="1" customWidth="1"/>
    <col min="11525" max="11525" width="21.42578125" style="406" customWidth="1"/>
    <col min="11526" max="11526" width="10" style="406" bestFit="1" customWidth="1"/>
    <col min="11527" max="11527" width="0" style="406" hidden="1" customWidth="1"/>
    <col min="11528" max="11776" width="9.140625" style="406"/>
    <col min="11777" max="11777" width="55.28515625" style="406" bestFit="1" customWidth="1"/>
    <col min="11778" max="11778" width="0" style="406" hidden="1" customWidth="1"/>
    <col min="11779" max="11779" width="21.85546875" style="406" bestFit="1" customWidth="1"/>
    <col min="11780" max="11780" width="0" style="406" hidden="1" customWidth="1"/>
    <col min="11781" max="11781" width="21.42578125" style="406" customWidth="1"/>
    <col min="11782" max="11782" width="10" style="406" bestFit="1" customWidth="1"/>
    <col min="11783" max="11783" width="0" style="406" hidden="1" customWidth="1"/>
    <col min="11784" max="12032" width="9.140625" style="406"/>
    <col min="12033" max="12033" width="55.28515625" style="406" bestFit="1" customWidth="1"/>
    <col min="12034" max="12034" width="0" style="406" hidden="1" customWidth="1"/>
    <col min="12035" max="12035" width="21.85546875" style="406" bestFit="1" customWidth="1"/>
    <col min="12036" max="12036" width="0" style="406" hidden="1" customWidth="1"/>
    <col min="12037" max="12037" width="21.42578125" style="406" customWidth="1"/>
    <col min="12038" max="12038" width="10" style="406" bestFit="1" customWidth="1"/>
    <col min="12039" max="12039" width="0" style="406" hidden="1" customWidth="1"/>
    <col min="12040" max="12288" width="9.140625" style="406"/>
    <col min="12289" max="12289" width="55.28515625" style="406" bestFit="1" customWidth="1"/>
    <col min="12290" max="12290" width="0" style="406" hidden="1" customWidth="1"/>
    <col min="12291" max="12291" width="21.85546875" style="406" bestFit="1" customWidth="1"/>
    <col min="12292" max="12292" width="0" style="406" hidden="1" customWidth="1"/>
    <col min="12293" max="12293" width="21.42578125" style="406" customWidth="1"/>
    <col min="12294" max="12294" width="10" style="406" bestFit="1" customWidth="1"/>
    <col min="12295" max="12295" width="0" style="406" hidden="1" customWidth="1"/>
    <col min="12296" max="12544" width="9.140625" style="406"/>
    <col min="12545" max="12545" width="55.28515625" style="406" bestFit="1" customWidth="1"/>
    <col min="12546" max="12546" width="0" style="406" hidden="1" customWidth="1"/>
    <col min="12547" max="12547" width="21.85546875" style="406" bestFit="1" customWidth="1"/>
    <col min="12548" max="12548" width="0" style="406" hidden="1" customWidth="1"/>
    <col min="12549" max="12549" width="21.42578125" style="406" customWidth="1"/>
    <col min="12550" max="12550" width="10" style="406" bestFit="1" customWidth="1"/>
    <col min="12551" max="12551" width="0" style="406" hidden="1" customWidth="1"/>
    <col min="12552" max="12800" width="9.140625" style="406"/>
    <col min="12801" max="12801" width="55.28515625" style="406" bestFit="1" customWidth="1"/>
    <col min="12802" max="12802" width="0" style="406" hidden="1" customWidth="1"/>
    <col min="12803" max="12803" width="21.85546875" style="406" bestFit="1" customWidth="1"/>
    <col min="12804" max="12804" width="0" style="406" hidden="1" customWidth="1"/>
    <col min="12805" max="12805" width="21.42578125" style="406" customWidth="1"/>
    <col min="12806" max="12806" width="10" style="406" bestFit="1" customWidth="1"/>
    <col min="12807" max="12807" width="0" style="406" hidden="1" customWidth="1"/>
    <col min="12808" max="13056" width="9.140625" style="406"/>
    <col min="13057" max="13057" width="55.28515625" style="406" bestFit="1" customWidth="1"/>
    <col min="13058" max="13058" width="0" style="406" hidden="1" customWidth="1"/>
    <col min="13059" max="13059" width="21.85546875" style="406" bestFit="1" customWidth="1"/>
    <col min="13060" max="13060" width="0" style="406" hidden="1" customWidth="1"/>
    <col min="13061" max="13061" width="21.42578125" style="406" customWidth="1"/>
    <col min="13062" max="13062" width="10" style="406" bestFit="1" customWidth="1"/>
    <col min="13063" max="13063" width="0" style="406" hidden="1" customWidth="1"/>
    <col min="13064" max="13312" width="9.140625" style="406"/>
    <col min="13313" max="13313" width="55.28515625" style="406" bestFit="1" customWidth="1"/>
    <col min="13314" max="13314" width="0" style="406" hidden="1" customWidth="1"/>
    <col min="13315" max="13315" width="21.85546875" style="406" bestFit="1" customWidth="1"/>
    <col min="13316" max="13316" width="0" style="406" hidden="1" customWidth="1"/>
    <col min="13317" max="13317" width="21.42578125" style="406" customWidth="1"/>
    <col min="13318" max="13318" width="10" style="406" bestFit="1" customWidth="1"/>
    <col min="13319" max="13319" width="0" style="406" hidden="1" customWidth="1"/>
    <col min="13320" max="13568" width="9.140625" style="406"/>
    <col min="13569" max="13569" width="55.28515625" style="406" bestFit="1" customWidth="1"/>
    <col min="13570" max="13570" width="0" style="406" hidden="1" customWidth="1"/>
    <col min="13571" max="13571" width="21.85546875" style="406" bestFit="1" customWidth="1"/>
    <col min="13572" max="13572" width="0" style="406" hidden="1" customWidth="1"/>
    <col min="13573" max="13573" width="21.42578125" style="406" customWidth="1"/>
    <col min="13574" max="13574" width="10" style="406" bestFit="1" customWidth="1"/>
    <col min="13575" max="13575" width="0" style="406" hidden="1" customWidth="1"/>
    <col min="13576" max="13824" width="9.140625" style="406"/>
    <col min="13825" max="13825" width="55.28515625" style="406" bestFit="1" customWidth="1"/>
    <col min="13826" max="13826" width="0" style="406" hidden="1" customWidth="1"/>
    <col min="13827" max="13827" width="21.85546875" style="406" bestFit="1" customWidth="1"/>
    <col min="13828" max="13828" width="0" style="406" hidden="1" customWidth="1"/>
    <col min="13829" max="13829" width="21.42578125" style="406" customWidth="1"/>
    <col min="13830" max="13830" width="10" style="406" bestFit="1" customWidth="1"/>
    <col min="13831" max="13831" width="0" style="406" hidden="1" customWidth="1"/>
    <col min="13832" max="14080" width="9.140625" style="406"/>
    <col min="14081" max="14081" width="55.28515625" style="406" bestFit="1" customWidth="1"/>
    <col min="14082" max="14082" width="0" style="406" hidden="1" customWidth="1"/>
    <col min="14083" max="14083" width="21.85546875" style="406" bestFit="1" customWidth="1"/>
    <col min="14084" max="14084" width="0" style="406" hidden="1" customWidth="1"/>
    <col min="14085" max="14085" width="21.42578125" style="406" customWidth="1"/>
    <col min="14086" max="14086" width="10" style="406" bestFit="1" customWidth="1"/>
    <col min="14087" max="14087" width="0" style="406" hidden="1" customWidth="1"/>
    <col min="14088" max="14336" width="9.140625" style="406"/>
    <col min="14337" max="14337" width="55.28515625" style="406" bestFit="1" customWidth="1"/>
    <col min="14338" max="14338" width="0" style="406" hidden="1" customWidth="1"/>
    <col min="14339" max="14339" width="21.85546875" style="406" bestFit="1" customWidth="1"/>
    <col min="14340" max="14340" width="0" style="406" hidden="1" customWidth="1"/>
    <col min="14341" max="14341" width="21.42578125" style="406" customWidth="1"/>
    <col min="14342" max="14342" width="10" style="406" bestFit="1" customWidth="1"/>
    <col min="14343" max="14343" width="0" style="406" hidden="1" customWidth="1"/>
    <col min="14344" max="14592" width="9.140625" style="406"/>
    <col min="14593" max="14593" width="55.28515625" style="406" bestFit="1" customWidth="1"/>
    <col min="14594" max="14594" width="0" style="406" hidden="1" customWidth="1"/>
    <col min="14595" max="14595" width="21.85546875" style="406" bestFit="1" customWidth="1"/>
    <col min="14596" max="14596" width="0" style="406" hidden="1" customWidth="1"/>
    <col min="14597" max="14597" width="21.42578125" style="406" customWidth="1"/>
    <col min="14598" max="14598" width="10" style="406" bestFit="1" customWidth="1"/>
    <col min="14599" max="14599" width="0" style="406" hidden="1" customWidth="1"/>
    <col min="14600" max="14848" width="9.140625" style="406"/>
    <col min="14849" max="14849" width="55.28515625" style="406" bestFit="1" customWidth="1"/>
    <col min="14850" max="14850" width="0" style="406" hidden="1" customWidth="1"/>
    <col min="14851" max="14851" width="21.85546875" style="406" bestFit="1" customWidth="1"/>
    <col min="14852" max="14852" width="0" style="406" hidden="1" customWidth="1"/>
    <col min="14853" max="14853" width="21.42578125" style="406" customWidth="1"/>
    <col min="14854" max="14854" width="10" style="406" bestFit="1" customWidth="1"/>
    <col min="14855" max="14855" width="0" style="406" hidden="1" customWidth="1"/>
    <col min="14856" max="15104" width="9.140625" style="406"/>
    <col min="15105" max="15105" width="55.28515625" style="406" bestFit="1" customWidth="1"/>
    <col min="15106" max="15106" width="0" style="406" hidden="1" customWidth="1"/>
    <col min="15107" max="15107" width="21.85546875" style="406" bestFit="1" customWidth="1"/>
    <col min="15108" max="15108" width="0" style="406" hidden="1" customWidth="1"/>
    <col min="15109" max="15109" width="21.42578125" style="406" customWidth="1"/>
    <col min="15110" max="15110" width="10" style="406" bestFit="1" customWidth="1"/>
    <col min="15111" max="15111" width="0" style="406" hidden="1" customWidth="1"/>
    <col min="15112" max="15360" width="9.140625" style="406"/>
    <col min="15361" max="15361" width="55.28515625" style="406" bestFit="1" customWidth="1"/>
    <col min="15362" max="15362" width="0" style="406" hidden="1" customWidth="1"/>
    <col min="15363" max="15363" width="21.85546875" style="406" bestFit="1" customWidth="1"/>
    <col min="15364" max="15364" width="0" style="406" hidden="1" customWidth="1"/>
    <col min="15365" max="15365" width="21.42578125" style="406" customWidth="1"/>
    <col min="15366" max="15366" width="10" style="406" bestFit="1" customWidth="1"/>
    <col min="15367" max="15367" width="0" style="406" hidden="1" customWidth="1"/>
    <col min="15368" max="15616" width="9.140625" style="406"/>
    <col min="15617" max="15617" width="55.28515625" style="406" bestFit="1" customWidth="1"/>
    <col min="15618" max="15618" width="0" style="406" hidden="1" customWidth="1"/>
    <col min="15619" max="15619" width="21.85546875" style="406" bestFit="1" customWidth="1"/>
    <col min="15620" max="15620" width="0" style="406" hidden="1" customWidth="1"/>
    <col min="15621" max="15621" width="21.42578125" style="406" customWidth="1"/>
    <col min="15622" max="15622" width="10" style="406" bestFit="1" customWidth="1"/>
    <col min="15623" max="15623" width="0" style="406" hidden="1" customWidth="1"/>
    <col min="15624" max="15872" width="9.140625" style="406"/>
    <col min="15873" max="15873" width="55.28515625" style="406" bestFit="1" customWidth="1"/>
    <col min="15874" max="15874" width="0" style="406" hidden="1" customWidth="1"/>
    <col min="15875" max="15875" width="21.85546875" style="406" bestFit="1" customWidth="1"/>
    <col min="15876" max="15876" width="0" style="406" hidden="1" customWidth="1"/>
    <col min="15877" max="15877" width="21.42578125" style="406" customWidth="1"/>
    <col min="15878" max="15878" width="10" style="406" bestFit="1" customWidth="1"/>
    <col min="15879" max="15879" width="0" style="406" hidden="1" customWidth="1"/>
    <col min="15880" max="16128" width="9.140625" style="406"/>
    <col min="16129" max="16129" width="55.28515625" style="406" bestFit="1" customWidth="1"/>
    <col min="16130" max="16130" width="0" style="406" hidden="1" customWidth="1"/>
    <col min="16131" max="16131" width="21.85546875" style="406" bestFit="1" customWidth="1"/>
    <col min="16132" max="16132" width="0" style="406" hidden="1" customWidth="1"/>
    <col min="16133" max="16133" width="21.42578125" style="406" customWidth="1"/>
    <col min="16134" max="16134" width="10" style="406" bestFit="1" customWidth="1"/>
    <col min="16135" max="16135" width="0" style="406" hidden="1" customWidth="1"/>
    <col min="16136" max="16384" width="9.140625" style="406"/>
  </cols>
  <sheetData>
    <row r="1" spans="1:7" ht="15.75" customHeight="1" x14ac:dyDescent="0.25">
      <c r="A1" s="804" t="s">
        <v>0</v>
      </c>
      <c r="B1" s="804"/>
      <c r="C1" s="804"/>
      <c r="D1" s="804"/>
      <c r="E1" s="804"/>
      <c r="F1" s="804"/>
      <c r="G1" s="804"/>
    </row>
    <row r="2" spans="1:7" ht="15.75" customHeight="1" x14ac:dyDescent="0.25">
      <c r="A2" s="805" t="s">
        <v>276</v>
      </c>
      <c r="B2" s="805"/>
      <c r="C2" s="805"/>
      <c r="D2" s="805"/>
      <c r="E2" s="805"/>
      <c r="F2" s="805"/>
      <c r="G2" s="805"/>
    </row>
    <row r="3" spans="1:7" ht="15.75" customHeight="1" x14ac:dyDescent="0.25">
      <c r="A3" s="805"/>
      <c r="B3" s="805"/>
      <c r="C3" s="805"/>
      <c r="D3" s="805"/>
      <c r="E3" s="805"/>
      <c r="F3" s="805"/>
      <c r="G3" s="805"/>
    </row>
    <row r="4" spans="1:7" ht="36.75" customHeight="1" x14ac:dyDescent="0.25">
      <c r="A4" s="804" t="s">
        <v>377</v>
      </c>
      <c r="B4" s="804"/>
      <c r="C4" s="804"/>
      <c r="D4" s="804"/>
      <c r="E4" s="804"/>
      <c r="F4" s="804"/>
      <c r="G4" s="804"/>
    </row>
    <row r="5" spans="1:7" x14ac:dyDescent="0.25">
      <c r="B5" s="806"/>
      <c r="C5" s="806"/>
      <c r="D5" s="806"/>
      <c r="E5" s="806"/>
      <c r="F5" s="806"/>
      <c r="G5" s="806"/>
    </row>
    <row r="6" spans="1:7" hidden="1" x14ac:dyDescent="0.25">
      <c r="A6" s="503"/>
      <c r="B6" s="504"/>
      <c r="C6" s="504"/>
      <c r="D6" s="504"/>
      <c r="E6" s="505"/>
      <c r="F6" s="505"/>
      <c r="G6" s="504"/>
    </row>
    <row r="7" spans="1:7" hidden="1" x14ac:dyDescent="0.25">
      <c r="A7" s="807" t="s">
        <v>2</v>
      </c>
      <c r="B7" s="808"/>
      <c r="C7" s="808"/>
      <c r="D7" s="808"/>
      <c r="E7" s="808"/>
      <c r="F7" s="808"/>
      <c r="G7" s="808"/>
    </row>
    <row r="8" spans="1:7" ht="63" hidden="1" x14ac:dyDescent="0.25">
      <c r="A8" s="225" t="s">
        <v>3</v>
      </c>
      <c r="B8" s="225" t="s">
        <v>4</v>
      </c>
      <c r="C8" s="506" t="s">
        <v>6</v>
      </c>
      <c r="D8" s="506"/>
      <c r="E8" s="225" t="s">
        <v>277</v>
      </c>
      <c r="F8" s="225"/>
      <c r="G8" s="226" t="s">
        <v>278</v>
      </c>
    </row>
    <row r="9" spans="1:7" hidden="1" x14ac:dyDescent="0.25">
      <c r="A9" s="809">
        <v>1</v>
      </c>
      <c r="B9" s="810"/>
      <c r="C9" s="811"/>
      <c r="D9" s="507"/>
      <c r="E9" s="227">
        <v>2</v>
      </c>
      <c r="F9" s="227"/>
      <c r="G9" s="228">
        <v>3</v>
      </c>
    </row>
    <row r="10" spans="1:7" hidden="1" x14ac:dyDescent="0.25">
      <c r="A10" s="508">
        <v>6</v>
      </c>
      <c r="B10" s="509"/>
      <c r="C10" s="508"/>
      <c r="D10" s="508"/>
      <c r="E10" s="510">
        <f>E11+E26+E30+E33+E40+E43</f>
        <v>24659145.79600504</v>
      </c>
      <c r="F10" s="510"/>
      <c r="G10" s="510">
        <f>G11+G26+G30+G33+G40+G43</f>
        <v>63888652.490000002</v>
      </c>
    </row>
    <row r="11" spans="1:7" hidden="1" x14ac:dyDescent="0.25">
      <c r="A11" s="511"/>
      <c r="B11" s="512">
        <v>63</v>
      </c>
      <c r="C11" s="513" t="s">
        <v>41</v>
      </c>
      <c r="D11" s="513"/>
      <c r="E11" s="514">
        <f>E12+E14+E17+E19+E21+E24</f>
        <v>324811.46725064697</v>
      </c>
      <c r="F11" s="514"/>
      <c r="G11" s="514">
        <f>SUM(G12,G14,G17,G19,G21,G24)</f>
        <v>639378.8600000001</v>
      </c>
    </row>
    <row r="12" spans="1:7" ht="31.5" hidden="1" x14ac:dyDescent="0.25">
      <c r="A12" s="511"/>
      <c r="B12" s="29">
        <v>632</v>
      </c>
      <c r="C12" s="515" t="s">
        <v>240</v>
      </c>
      <c r="D12" s="515"/>
      <c r="E12" s="516">
        <f>SUM(E13)</f>
        <v>0</v>
      </c>
      <c r="F12" s="516"/>
      <c r="G12" s="516">
        <f>SUM(G13)</f>
        <v>0</v>
      </c>
    </row>
    <row r="13" spans="1:7" hidden="1" x14ac:dyDescent="0.25">
      <c r="A13" s="511"/>
      <c r="B13" s="517">
        <v>6324</v>
      </c>
      <c r="C13" s="518" t="s">
        <v>241</v>
      </c>
      <c r="D13" s="518"/>
      <c r="E13" s="519">
        <v>0</v>
      </c>
      <c r="F13" s="519"/>
      <c r="G13" s="520">
        <v>0</v>
      </c>
    </row>
    <row r="14" spans="1:7" hidden="1" x14ac:dyDescent="0.25">
      <c r="A14" s="511"/>
      <c r="B14" s="29">
        <v>633</v>
      </c>
      <c r="C14" s="521" t="s">
        <v>242</v>
      </c>
      <c r="D14" s="521"/>
      <c r="E14" s="516">
        <f>SUM(E15:E16)</f>
        <v>50556.108567257281</v>
      </c>
      <c r="F14" s="516"/>
      <c r="G14" s="516">
        <f>SUM(G15:G16)</f>
        <v>0</v>
      </c>
    </row>
    <row r="15" spans="1:7" hidden="1" x14ac:dyDescent="0.25">
      <c r="A15" s="511"/>
      <c r="B15" s="522">
        <v>6331</v>
      </c>
      <c r="C15" s="523" t="s">
        <v>244</v>
      </c>
      <c r="D15" s="523"/>
      <c r="E15" s="519">
        <f>380915/7.5345</f>
        <v>50556.108567257281</v>
      </c>
      <c r="F15" s="519"/>
      <c r="G15" s="520">
        <v>0</v>
      </c>
    </row>
    <row r="16" spans="1:7" hidden="1" x14ac:dyDescent="0.25">
      <c r="A16" s="511"/>
      <c r="B16" s="522">
        <v>6332</v>
      </c>
      <c r="C16" s="523" t="s">
        <v>246</v>
      </c>
      <c r="D16" s="523"/>
      <c r="E16" s="519">
        <v>0</v>
      </c>
      <c r="F16" s="519"/>
      <c r="G16" s="519">
        <v>0</v>
      </c>
    </row>
    <row r="17" spans="1:7" hidden="1" x14ac:dyDescent="0.25">
      <c r="A17" s="511"/>
      <c r="B17" s="511">
        <v>634</v>
      </c>
      <c r="C17" s="524" t="s">
        <v>24</v>
      </c>
      <c r="D17" s="524"/>
      <c r="E17" s="525">
        <f>SUM(E18)</f>
        <v>111981.9496980556</v>
      </c>
      <c r="F17" s="525"/>
      <c r="G17" s="525">
        <f>SUM(G18)</f>
        <v>366500.76</v>
      </c>
    </row>
    <row r="18" spans="1:7" hidden="1" x14ac:dyDescent="0.25">
      <c r="A18" s="511"/>
      <c r="B18" s="522">
        <v>6341</v>
      </c>
      <c r="C18" s="523" t="s">
        <v>26</v>
      </c>
      <c r="D18" s="523"/>
      <c r="E18" s="519">
        <f>843728/7.5345</f>
        <v>111981.9496980556</v>
      </c>
      <c r="F18" s="519"/>
      <c r="G18" s="519">
        <v>366500.76</v>
      </c>
    </row>
    <row r="19" spans="1:7" ht="17.25" hidden="1" customHeight="1" x14ac:dyDescent="0.25">
      <c r="A19" s="511"/>
      <c r="B19" s="511">
        <v>636</v>
      </c>
      <c r="C19" s="526" t="s">
        <v>248</v>
      </c>
      <c r="D19" s="526"/>
      <c r="E19" s="525">
        <f>SUM(E20)</f>
        <v>54857.12389674165</v>
      </c>
      <c r="F19" s="525"/>
      <c r="G19" s="525">
        <f>SUM(G20)</f>
        <v>796.34</v>
      </c>
    </row>
    <row r="20" spans="1:7" hidden="1" x14ac:dyDescent="0.25">
      <c r="A20" s="511"/>
      <c r="B20" s="522">
        <v>6361</v>
      </c>
      <c r="C20" s="527" t="s">
        <v>249</v>
      </c>
      <c r="D20" s="527"/>
      <c r="E20" s="519">
        <f>413321/7.5345</f>
        <v>54857.12389674165</v>
      </c>
      <c r="F20" s="519"/>
      <c r="G20" s="519">
        <f>796.34</f>
        <v>796.34</v>
      </c>
    </row>
    <row r="21" spans="1:7" hidden="1" x14ac:dyDescent="0.25">
      <c r="A21" s="511"/>
      <c r="B21" s="511">
        <v>638</v>
      </c>
      <c r="C21" s="528" t="s">
        <v>250</v>
      </c>
      <c r="D21" s="528"/>
      <c r="E21" s="525">
        <f>SUM(E22:E23)</f>
        <v>107244.80722012077</v>
      </c>
      <c r="F21" s="525"/>
      <c r="G21" s="525">
        <f>SUM(G23)</f>
        <v>272081.76</v>
      </c>
    </row>
    <row r="22" spans="1:7" hidden="1" x14ac:dyDescent="0.25">
      <c r="A22" s="522"/>
      <c r="B22" s="522">
        <v>6381</v>
      </c>
      <c r="C22" s="527" t="s">
        <v>34</v>
      </c>
      <c r="D22" s="527"/>
      <c r="E22" s="519">
        <f>493624/7.5345</f>
        <v>65515.163580861365</v>
      </c>
      <c r="F22" s="519"/>
      <c r="G22" s="519">
        <v>0</v>
      </c>
    </row>
    <row r="23" spans="1:7" hidden="1" x14ac:dyDescent="0.25">
      <c r="A23" s="511"/>
      <c r="B23" s="522">
        <v>6382</v>
      </c>
      <c r="C23" s="527" t="s">
        <v>251</v>
      </c>
      <c r="D23" s="527"/>
      <c r="E23" s="519">
        <f>314412/7.5345</f>
        <v>41729.643639259404</v>
      </c>
      <c r="F23" s="519"/>
      <c r="G23" s="519">
        <v>272081.76</v>
      </c>
    </row>
    <row r="24" spans="1:7" hidden="1" x14ac:dyDescent="0.25">
      <c r="A24" s="511"/>
      <c r="B24" s="511">
        <v>639</v>
      </c>
      <c r="C24" s="528" t="s">
        <v>252</v>
      </c>
      <c r="D24" s="528"/>
      <c r="E24" s="525">
        <f>SUM(E25)</f>
        <v>171.47786847169687</v>
      </c>
      <c r="F24" s="525"/>
      <c r="G24" s="525">
        <f>SUM(G25)</f>
        <v>0</v>
      </c>
    </row>
    <row r="25" spans="1:7" hidden="1" x14ac:dyDescent="0.25">
      <c r="A25" s="511"/>
      <c r="B25" s="522">
        <v>6391</v>
      </c>
      <c r="C25" s="527" t="s">
        <v>253</v>
      </c>
      <c r="D25" s="527"/>
      <c r="E25" s="519">
        <f>1292/7.5345</f>
        <v>171.47786847169687</v>
      </c>
      <c r="F25" s="519"/>
      <c r="G25" s="519">
        <v>0</v>
      </c>
    </row>
    <row r="26" spans="1:7" hidden="1" x14ac:dyDescent="0.25">
      <c r="A26" s="511"/>
      <c r="B26" s="529">
        <v>64</v>
      </c>
      <c r="C26" s="530" t="s">
        <v>42</v>
      </c>
      <c r="D26" s="530"/>
      <c r="E26" s="531">
        <f>SUM(E27:E29)</f>
        <v>50144.535138363528</v>
      </c>
      <c r="F26" s="531"/>
      <c r="G26" s="531">
        <f>SUM(G27:G29)</f>
        <v>120462.42</v>
      </c>
    </row>
    <row r="27" spans="1:7" hidden="1" x14ac:dyDescent="0.25">
      <c r="A27" s="511"/>
      <c r="B27" s="522">
        <v>6413</v>
      </c>
      <c r="C27" s="523" t="s">
        <v>254</v>
      </c>
      <c r="D27" s="523"/>
      <c r="E27" s="519">
        <f>439/7.5345</f>
        <v>58.265312894020838</v>
      </c>
      <c r="F27" s="519"/>
      <c r="G27" s="519">
        <v>746.44</v>
      </c>
    </row>
    <row r="28" spans="1:7" hidden="1" x14ac:dyDescent="0.25">
      <c r="A28" s="511"/>
      <c r="B28" s="522">
        <v>6419</v>
      </c>
      <c r="C28" s="523" t="s">
        <v>255</v>
      </c>
      <c r="D28" s="523"/>
      <c r="E28" s="519">
        <f>376342/7.5345</f>
        <v>49949.167164377199</v>
      </c>
      <c r="F28" s="519"/>
      <c r="G28" s="519">
        <v>119450.53</v>
      </c>
    </row>
    <row r="29" spans="1:7" hidden="1" x14ac:dyDescent="0.25">
      <c r="A29" s="511"/>
      <c r="B29" s="522">
        <v>6429</v>
      </c>
      <c r="C29" s="523" t="s">
        <v>57</v>
      </c>
      <c r="D29" s="523"/>
      <c r="E29" s="519">
        <f>1033/7.5345</f>
        <v>137.10266109230869</v>
      </c>
      <c r="F29" s="519"/>
      <c r="G29" s="519">
        <f>265.45</f>
        <v>265.45</v>
      </c>
    </row>
    <row r="30" spans="1:7" hidden="1" x14ac:dyDescent="0.25">
      <c r="A30" s="511"/>
      <c r="B30" s="529">
        <v>65</v>
      </c>
      <c r="C30" s="530" t="s">
        <v>46</v>
      </c>
      <c r="D30" s="530"/>
      <c r="E30" s="531">
        <f>E31</f>
        <v>1523828.3894087197</v>
      </c>
      <c r="F30" s="531"/>
      <c r="G30" s="531">
        <f>SUM(G31)</f>
        <v>6950029.8600000003</v>
      </c>
    </row>
    <row r="31" spans="1:7" hidden="1" x14ac:dyDescent="0.25">
      <c r="A31" s="511"/>
      <c r="B31" s="511">
        <v>652</v>
      </c>
      <c r="C31" s="524" t="s">
        <v>46</v>
      </c>
      <c r="D31" s="524"/>
      <c r="E31" s="525">
        <f>SUM(E32)</f>
        <v>1523828.3894087197</v>
      </c>
      <c r="F31" s="525"/>
      <c r="G31" s="525">
        <f>SUM(G32)</f>
        <v>6950029.8600000003</v>
      </c>
    </row>
    <row r="32" spans="1:7" hidden="1" x14ac:dyDescent="0.25">
      <c r="A32" s="511"/>
      <c r="B32" s="522">
        <v>6526</v>
      </c>
      <c r="C32" s="523" t="s">
        <v>47</v>
      </c>
      <c r="D32" s="523"/>
      <c r="E32" s="519">
        <f>11481285/7.5345</f>
        <v>1523828.3894087197</v>
      </c>
      <c r="F32" s="519"/>
      <c r="G32" s="519">
        <f>6950029.86</f>
        <v>6950029.8600000003</v>
      </c>
    </row>
    <row r="33" spans="1:7" hidden="1" x14ac:dyDescent="0.25">
      <c r="A33" s="511"/>
      <c r="B33" s="529">
        <v>66</v>
      </c>
      <c r="C33" s="530" t="s">
        <v>256</v>
      </c>
      <c r="D33" s="530"/>
      <c r="E33" s="531">
        <f>E34+E37</f>
        <v>1701559.2275532549</v>
      </c>
      <c r="F33" s="531"/>
      <c r="G33" s="531">
        <f>SUM(G34,G37)</f>
        <v>3641484.8899999997</v>
      </c>
    </row>
    <row r="34" spans="1:7" hidden="1" x14ac:dyDescent="0.25">
      <c r="A34" s="511"/>
      <c r="B34" s="511">
        <v>661</v>
      </c>
      <c r="C34" s="528" t="s">
        <v>257</v>
      </c>
      <c r="D34" s="528"/>
      <c r="E34" s="525">
        <f>SUM(E35:E36)</f>
        <v>1677912.004778021</v>
      </c>
      <c r="F34" s="525"/>
      <c r="G34" s="525">
        <f>SUM(G36,G35)</f>
        <v>3521370.76</v>
      </c>
    </row>
    <row r="35" spans="1:7" hidden="1" x14ac:dyDescent="0.25">
      <c r="A35" s="522"/>
      <c r="B35" s="522">
        <v>6614</v>
      </c>
      <c r="C35" s="527" t="s">
        <v>258</v>
      </c>
      <c r="D35" s="527"/>
      <c r="E35" s="519">
        <f>6216809/7.5345</f>
        <v>825112.34985732299</v>
      </c>
      <c r="F35" s="519"/>
      <c r="G35" s="519">
        <v>1725396.51</v>
      </c>
    </row>
    <row r="36" spans="1:7" hidden="1" x14ac:dyDescent="0.25">
      <c r="A36" s="511"/>
      <c r="B36" s="522">
        <v>6615</v>
      </c>
      <c r="C36" s="523" t="s">
        <v>64</v>
      </c>
      <c r="D36" s="523"/>
      <c r="E36" s="519">
        <f>6425419/7.5345</f>
        <v>852799.65492069803</v>
      </c>
      <c r="F36" s="519"/>
      <c r="G36" s="519">
        <v>1795974.25</v>
      </c>
    </row>
    <row r="37" spans="1:7" hidden="1" x14ac:dyDescent="0.25">
      <c r="A37" s="511"/>
      <c r="B37" s="511">
        <v>663</v>
      </c>
      <c r="C37" s="524" t="s">
        <v>259</v>
      </c>
      <c r="D37" s="524"/>
      <c r="E37" s="525">
        <f>SUM(E38:E39)</f>
        <v>23647.222775233924</v>
      </c>
      <c r="F37" s="525"/>
      <c r="G37" s="525">
        <f>SUM(G38:G39)</f>
        <v>120114.13</v>
      </c>
    </row>
    <row r="38" spans="1:7" hidden="1" x14ac:dyDescent="0.25">
      <c r="A38" s="511"/>
      <c r="B38" s="522">
        <v>6631</v>
      </c>
      <c r="C38" s="523" t="s">
        <v>68</v>
      </c>
      <c r="D38" s="523"/>
      <c r="E38" s="519">
        <f>5000/7.5345</f>
        <v>663.61404207313024</v>
      </c>
      <c r="F38" s="519"/>
      <c r="G38" s="519">
        <v>53752.73</v>
      </c>
    </row>
    <row r="39" spans="1:7" hidden="1" x14ac:dyDescent="0.25">
      <c r="A39" s="511"/>
      <c r="B39" s="522">
        <v>6632</v>
      </c>
      <c r="C39" s="523" t="s">
        <v>70</v>
      </c>
      <c r="D39" s="523"/>
      <c r="E39" s="519">
        <f>173170/7.5345</f>
        <v>22983.608733160792</v>
      </c>
      <c r="F39" s="519"/>
      <c r="G39" s="519">
        <v>66361.399999999994</v>
      </c>
    </row>
    <row r="40" spans="1:7" s="439" customFormat="1" hidden="1" x14ac:dyDescent="0.25">
      <c r="A40" s="511"/>
      <c r="B40" s="529">
        <v>67</v>
      </c>
      <c r="C40" s="530" t="s">
        <v>260</v>
      </c>
      <c r="D40" s="530"/>
      <c r="E40" s="531">
        <f t="shared" ref="E40:G41" si="0">SUM(E41)</f>
        <v>20985599.575287011</v>
      </c>
      <c r="F40" s="531"/>
      <c r="G40" s="531">
        <f t="shared" si="0"/>
        <v>52367289.020000003</v>
      </c>
    </row>
    <row r="41" spans="1:7" hidden="1" x14ac:dyDescent="0.25">
      <c r="A41" s="511"/>
      <c r="B41" s="511">
        <v>673</v>
      </c>
      <c r="C41" s="524" t="s">
        <v>261</v>
      </c>
      <c r="D41" s="524"/>
      <c r="E41" s="525">
        <f t="shared" si="0"/>
        <v>20985599.575287011</v>
      </c>
      <c r="F41" s="525"/>
      <c r="G41" s="525">
        <f t="shared" si="0"/>
        <v>52367289.020000003</v>
      </c>
    </row>
    <row r="42" spans="1:7" hidden="1" x14ac:dyDescent="0.25">
      <c r="A42" s="511"/>
      <c r="B42" s="522">
        <v>6731</v>
      </c>
      <c r="C42" s="523" t="s">
        <v>49</v>
      </c>
      <c r="D42" s="523"/>
      <c r="E42" s="519">
        <f>158116000/7.5345</f>
        <v>20985599.575287011</v>
      </c>
      <c r="F42" s="519"/>
      <c r="G42" s="519">
        <v>52367289.020000003</v>
      </c>
    </row>
    <row r="43" spans="1:7" hidden="1" x14ac:dyDescent="0.25">
      <c r="A43" s="511"/>
      <c r="B43" s="529">
        <v>68</v>
      </c>
      <c r="C43" s="532" t="s">
        <v>52</v>
      </c>
      <c r="D43" s="532"/>
      <c r="E43" s="531">
        <f t="shared" ref="E43:G44" si="1">SUM(E44)</f>
        <v>73202.601367044917</v>
      </c>
      <c r="F43" s="531"/>
      <c r="G43" s="531">
        <f t="shared" si="1"/>
        <v>170007.44</v>
      </c>
    </row>
    <row r="44" spans="1:7" hidden="1" x14ac:dyDescent="0.25">
      <c r="A44" s="511"/>
      <c r="B44" s="511">
        <v>683</v>
      </c>
      <c r="C44" s="524" t="s">
        <v>54</v>
      </c>
      <c r="D44" s="524"/>
      <c r="E44" s="525">
        <f t="shared" si="1"/>
        <v>73202.601367044917</v>
      </c>
      <c r="F44" s="525"/>
      <c r="G44" s="525">
        <f t="shared" si="1"/>
        <v>170007.44</v>
      </c>
    </row>
    <row r="45" spans="1:7" hidden="1" x14ac:dyDescent="0.25">
      <c r="A45" s="511"/>
      <c r="B45" s="522">
        <v>6831</v>
      </c>
      <c r="C45" s="523" t="s">
        <v>54</v>
      </c>
      <c r="D45" s="523"/>
      <c r="E45" s="519">
        <f>551545/7.5345</f>
        <v>73202.601367044917</v>
      </c>
      <c r="F45" s="519"/>
      <c r="G45" s="519">
        <v>170007.44</v>
      </c>
    </row>
    <row r="46" spans="1:7" hidden="1" x14ac:dyDescent="0.25">
      <c r="A46" s="508">
        <v>7</v>
      </c>
      <c r="B46" s="508"/>
      <c r="C46" s="533" t="s">
        <v>75</v>
      </c>
      <c r="D46" s="533"/>
      <c r="E46" s="534">
        <f>E48</f>
        <v>206.78213550998737</v>
      </c>
      <c r="F46" s="534"/>
      <c r="G46" s="534">
        <f>SUM(G47)</f>
        <v>7432.4800000000005</v>
      </c>
    </row>
    <row r="47" spans="1:7" hidden="1" x14ac:dyDescent="0.25">
      <c r="A47" s="511"/>
      <c r="B47" s="529">
        <v>72</v>
      </c>
      <c r="C47" s="535" t="s">
        <v>76</v>
      </c>
      <c r="D47" s="535"/>
      <c r="E47" s="531">
        <f>SUM(E48)</f>
        <v>206.78213550998737</v>
      </c>
      <c r="F47" s="531"/>
      <c r="G47" s="531">
        <f>SUM(G48)</f>
        <v>7432.4800000000005</v>
      </c>
    </row>
    <row r="48" spans="1:7" hidden="1" x14ac:dyDescent="0.25">
      <c r="A48" s="511"/>
      <c r="B48" s="511">
        <v>721</v>
      </c>
      <c r="C48" s="524" t="s">
        <v>77</v>
      </c>
      <c r="D48" s="524"/>
      <c r="E48" s="525">
        <f>SUM(E49)</f>
        <v>206.78213550998737</v>
      </c>
      <c r="F48" s="525"/>
      <c r="G48" s="525">
        <f>SUM(G49,G50)</f>
        <v>7432.4800000000005</v>
      </c>
    </row>
    <row r="49" spans="1:7" hidden="1" x14ac:dyDescent="0.25">
      <c r="A49" s="511"/>
      <c r="B49" s="522">
        <v>7211</v>
      </c>
      <c r="C49" s="523" t="s">
        <v>78</v>
      </c>
      <c r="D49" s="523"/>
      <c r="E49" s="519">
        <f>1558/7.5345</f>
        <v>206.78213550998737</v>
      </c>
      <c r="F49" s="519"/>
      <c r="G49" s="519">
        <v>796.34</v>
      </c>
    </row>
    <row r="50" spans="1:7" hidden="1" x14ac:dyDescent="0.25">
      <c r="A50" s="511"/>
      <c r="B50" s="522">
        <v>7231</v>
      </c>
      <c r="C50" s="523" t="s">
        <v>80</v>
      </c>
      <c r="D50" s="523"/>
      <c r="E50" s="519">
        <v>0</v>
      </c>
      <c r="F50" s="519"/>
      <c r="G50" s="519">
        <v>6636.14</v>
      </c>
    </row>
    <row r="51" spans="1:7" hidden="1" x14ac:dyDescent="0.25">
      <c r="A51" s="789" t="s">
        <v>262</v>
      </c>
      <c r="B51" s="790"/>
      <c r="C51" s="791"/>
      <c r="D51" s="536"/>
      <c r="E51" s="537">
        <f>E10+E46</f>
        <v>24659352.578140549</v>
      </c>
      <c r="F51" s="537"/>
      <c r="G51" s="537">
        <f>G10+G46</f>
        <v>63896084.969999999</v>
      </c>
    </row>
    <row r="52" spans="1:7" hidden="1" x14ac:dyDescent="0.25"/>
    <row r="53" spans="1:7" hidden="1" x14ac:dyDescent="0.25"/>
    <row r="54" spans="1:7" x14ac:dyDescent="0.25">
      <c r="A54" s="797" t="s">
        <v>279</v>
      </c>
      <c r="B54" s="797"/>
      <c r="C54" s="797"/>
      <c r="D54" s="797"/>
      <c r="E54" s="797"/>
      <c r="F54" s="797"/>
      <c r="G54" s="797"/>
    </row>
    <row r="55" spans="1:7" ht="69" customHeight="1" x14ac:dyDescent="0.25">
      <c r="A55" s="225" t="s">
        <v>3</v>
      </c>
      <c r="B55" s="225" t="s">
        <v>4</v>
      </c>
      <c r="C55" s="506" t="s">
        <v>6</v>
      </c>
      <c r="D55" s="404" t="s">
        <v>622</v>
      </c>
      <c r="E55" s="229" t="s">
        <v>603</v>
      </c>
      <c r="F55" s="245" t="s">
        <v>604</v>
      </c>
      <c r="G55" s="245" t="s">
        <v>623</v>
      </c>
    </row>
    <row r="56" spans="1:7" ht="13.5" customHeight="1" x14ac:dyDescent="0.25">
      <c r="A56" s="798">
        <v>1</v>
      </c>
      <c r="B56" s="799"/>
      <c r="C56" s="800"/>
      <c r="D56" s="540"/>
      <c r="E56" s="541">
        <v>2</v>
      </c>
      <c r="F56" s="541"/>
      <c r="G56" s="541">
        <v>3</v>
      </c>
    </row>
    <row r="57" spans="1:7" x14ac:dyDescent="0.25">
      <c r="A57" s="508">
        <v>3</v>
      </c>
      <c r="B57" s="542"/>
      <c r="C57" s="542" t="s">
        <v>82</v>
      </c>
      <c r="D57" s="534">
        <f>D58+D82+D179+D191+D195+D200</f>
        <v>5084825.8805000009</v>
      </c>
      <c r="E57" s="534">
        <f>E58+E82+E179+E191+E195+E200</f>
        <v>4299508.6899999995</v>
      </c>
      <c r="F57" s="534">
        <f>F58+F82+F179+F191+F195+F200</f>
        <v>4337963.4799999995</v>
      </c>
      <c r="G57" s="534">
        <f t="shared" ref="G57" si="2">G58+G82+G179+G191+G195+G200</f>
        <v>4919030.6399999997</v>
      </c>
    </row>
    <row r="58" spans="1:7" x14ac:dyDescent="0.25">
      <c r="A58" s="511"/>
      <c r="B58" s="543">
        <v>31</v>
      </c>
      <c r="C58" s="543" t="s">
        <v>88</v>
      </c>
      <c r="D58" s="544">
        <f>SUM(D59,D68,D76)</f>
        <v>4163364.8400000008</v>
      </c>
      <c r="E58" s="544">
        <f>SUM(E59,E68,E76)</f>
        <v>3228791.6399999997</v>
      </c>
      <c r="F58" s="544">
        <f>SUM(F59,F68,F76)</f>
        <v>3308338.0199999996</v>
      </c>
      <c r="G58" s="544">
        <f t="shared" ref="G58" si="3">SUM(G59,G68,G76)</f>
        <v>4115993.2700000005</v>
      </c>
    </row>
    <row r="59" spans="1:7" x14ac:dyDescent="0.25">
      <c r="A59" s="511"/>
      <c r="B59" s="524">
        <v>311</v>
      </c>
      <c r="C59" s="524" t="s">
        <v>280</v>
      </c>
      <c r="D59" s="525">
        <f>D60+D64+D66</f>
        <v>3472401.9100000006</v>
      </c>
      <c r="E59" s="525">
        <f>E60+E64+E66</f>
        <v>2663983.7399999998</v>
      </c>
      <c r="F59" s="525">
        <f>F60+F64+F66</f>
        <v>2728608.9699999997</v>
      </c>
      <c r="G59" s="525">
        <f t="shared" ref="G59" si="4">G60+G64+G66</f>
        <v>3415471.2500000005</v>
      </c>
    </row>
    <row r="60" spans="1:7" x14ac:dyDescent="0.25">
      <c r="A60" s="511"/>
      <c r="B60" s="524">
        <v>3111</v>
      </c>
      <c r="C60" s="524" t="s">
        <v>90</v>
      </c>
      <c r="D60" s="525">
        <f>D61+D62</f>
        <v>3350820.1800000006</v>
      </c>
      <c r="E60" s="525">
        <f>E61+E62</f>
        <v>2614876.2999999998</v>
      </c>
      <c r="F60" s="525">
        <f>F61+F62</f>
        <v>2679501.5299999998</v>
      </c>
      <c r="G60" s="525">
        <f t="shared" ref="G60" si="5">G61+G62</f>
        <v>3315609.6600000006</v>
      </c>
    </row>
    <row r="61" spans="1:7" x14ac:dyDescent="0.25">
      <c r="A61" s="511"/>
      <c r="B61" s="523">
        <v>31111</v>
      </c>
      <c r="C61" s="523" t="s">
        <v>90</v>
      </c>
      <c r="D61" s="519">
        <f>' PRIHODI I RASHODI-izvori'!E15+' PRIHODI I RASHODI-izvori'!E104+' PRIHODI I RASHODI-izvori'!E294+' PRIHODI I RASHODI-izvori'!E400</f>
        <v>3349104.1900000004</v>
      </c>
      <c r="E61" s="519">
        <f>' PRIHODI I RASHODI-izvori'!F15+' PRIHODI I RASHODI-izvori'!F104+' PRIHODI I RASHODI-izvori'!F294+' PRIHODI I RASHODI-izvori'!F400</f>
        <v>2609876.2999999998</v>
      </c>
      <c r="F61" s="519">
        <f>' PRIHODI I RASHODI-izvori'!G15+' PRIHODI I RASHODI-izvori'!G104+' PRIHODI I RASHODI-izvori'!G294+' PRIHODI I RASHODI-izvori'!G400</f>
        <v>2674501.5299999998</v>
      </c>
      <c r="G61" s="519">
        <f>' PRIHODI I RASHODI-izvori'!H15+' PRIHODI I RASHODI-izvori'!H104+' PRIHODI I RASHODI-izvori'!H294+' PRIHODI I RASHODI-izvori'!H400</f>
        <v>3315609.6600000006</v>
      </c>
    </row>
    <row r="62" spans="1:7" x14ac:dyDescent="0.25">
      <c r="A62" s="511"/>
      <c r="B62" s="523">
        <v>31113</v>
      </c>
      <c r="C62" s="523" t="s">
        <v>380</v>
      </c>
      <c r="D62" s="519">
        <f>' PRIHODI I RASHODI-izvori'!E105</f>
        <v>1715.99</v>
      </c>
      <c r="E62" s="519">
        <f>' PRIHODI I RASHODI-izvori'!F105</f>
        <v>5000</v>
      </c>
      <c r="F62" s="519">
        <f>' PRIHODI I RASHODI-izvori'!G105</f>
        <v>5000</v>
      </c>
      <c r="G62" s="519">
        <f>' PRIHODI I RASHODI-izvori'!H105</f>
        <v>0</v>
      </c>
    </row>
    <row r="63" spans="1:7" hidden="1" x14ac:dyDescent="0.25">
      <c r="A63" s="511"/>
      <c r="B63" s="523">
        <v>3112</v>
      </c>
      <c r="C63" s="523" t="s">
        <v>92</v>
      </c>
      <c r="D63" s="519"/>
      <c r="E63" s="519"/>
      <c r="F63" s="519"/>
      <c r="G63" s="519"/>
    </row>
    <row r="64" spans="1:7" x14ac:dyDescent="0.25">
      <c r="A64" s="511"/>
      <c r="B64" s="524">
        <v>3113</v>
      </c>
      <c r="C64" s="524" t="s">
        <v>94</v>
      </c>
      <c r="D64" s="525">
        <f>D65</f>
        <v>79831.87</v>
      </c>
      <c r="E64" s="525">
        <f>E65</f>
        <v>49107.44</v>
      </c>
      <c r="F64" s="525">
        <f>F65</f>
        <v>49107.44</v>
      </c>
      <c r="G64" s="525">
        <f t="shared" ref="G64" si="6">G65</f>
        <v>99861.59</v>
      </c>
    </row>
    <row r="65" spans="1:7" x14ac:dyDescent="0.25">
      <c r="A65" s="511"/>
      <c r="B65" s="523">
        <v>31131</v>
      </c>
      <c r="C65" s="523" t="s">
        <v>94</v>
      </c>
      <c r="D65" s="519">
        <f>' PRIHODI I RASHODI-izvori'!E108</f>
        <v>79831.87</v>
      </c>
      <c r="E65" s="519">
        <f>' PRIHODI I RASHODI-izvori'!F108</f>
        <v>49107.44</v>
      </c>
      <c r="F65" s="519">
        <f>' PRIHODI I RASHODI-izvori'!G108</f>
        <v>49107.44</v>
      </c>
      <c r="G65" s="519">
        <f>' PRIHODI I RASHODI-izvori'!H108</f>
        <v>99861.59</v>
      </c>
    </row>
    <row r="66" spans="1:7" x14ac:dyDescent="0.25">
      <c r="A66" s="511"/>
      <c r="B66" s="524">
        <v>3114</v>
      </c>
      <c r="C66" s="524" t="s">
        <v>211</v>
      </c>
      <c r="D66" s="525">
        <f>D67</f>
        <v>41749.86</v>
      </c>
      <c r="E66" s="525">
        <f>E67</f>
        <v>0</v>
      </c>
      <c r="F66" s="525">
        <f>F67</f>
        <v>0</v>
      </c>
      <c r="G66" s="525">
        <f t="shared" ref="G66" si="7">G67</f>
        <v>0</v>
      </c>
    </row>
    <row r="67" spans="1:7" x14ac:dyDescent="0.25">
      <c r="A67" s="511"/>
      <c r="B67" s="523">
        <v>31141</v>
      </c>
      <c r="C67" s="523" t="s">
        <v>211</v>
      </c>
      <c r="D67" s="519">
        <f>' PRIHODI I RASHODI-izvori'!E110+' PRIHODI I RASHODI-izvori'!E298+' PRIHODI I RASHODI-izvori'!E403</f>
        <v>41749.86</v>
      </c>
      <c r="E67" s="519">
        <f>' PRIHODI I RASHODI-izvori'!F110+' PRIHODI I RASHODI-izvori'!F298+' PRIHODI I RASHODI-izvori'!F403</f>
        <v>0</v>
      </c>
      <c r="F67" s="519">
        <f>' PRIHODI I RASHODI-izvori'!G110+' PRIHODI I RASHODI-izvori'!G298+' PRIHODI I RASHODI-izvori'!G403</f>
        <v>0</v>
      </c>
      <c r="G67" s="519">
        <f>' PRIHODI I RASHODI-izvori'!H110+' PRIHODI I RASHODI-izvori'!H298+' PRIHODI I RASHODI-izvori'!H403</f>
        <v>0</v>
      </c>
    </row>
    <row r="68" spans="1:7" x14ac:dyDescent="0.25">
      <c r="A68" s="511"/>
      <c r="B68" s="524">
        <v>312</v>
      </c>
      <c r="C68" s="524" t="s">
        <v>98</v>
      </c>
      <c r="D68" s="525">
        <f>SUM(D69)</f>
        <v>145684.44</v>
      </c>
      <c r="E68" s="525">
        <f>SUM(E69)</f>
        <v>128191.98000000001</v>
      </c>
      <c r="F68" s="525">
        <f>SUM(F69)</f>
        <v>129591.98000000001</v>
      </c>
      <c r="G68" s="525">
        <f t="shared" ref="G68" si="8">SUM(G69)</f>
        <v>141537.10999999999</v>
      </c>
    </row>
    <row r="69" spans="1:7" x14ac:dyDescent="0.25">
      <c r="A69" s="511"/>
      <c r="B69" s="524">
        <v>3121</v>
      </c>
      <c r="C69" s="524" t="s">
        <v>98</v>
      </c>
      <c r="D69" s="525">
        <f>SUM(D70:D75)</f>
        <v>145684.44</v>
      </c>
      <c r="E69" s="525">
        <f>SUM(E70:E75)</f>
        <v>128191.98000000001</v>
      </c>
      <c r="F69" s="525">
        <f>SUM(F70:F75)</f>
        <v>129591.98000000001</v>
      </c>
      <c r="G69" s="525">
        <f t="shared" ref="G69" si="9">SUM(G70:G75)</f>
        <v>141537.10999999999</v>
      </c>
    </row>
    <row r="70" spans="1:7" x14ac:dyDescent="0.25">
      <c r="A70" s="511"/>
      <c r="B70" s="523">
        <v>31212</v>
      </c>
      <c r="C70" s="523" t="s">
        <v>382</v>
      </c>
      <c r="D70" s="519">
        <f>' PRIHODI I RASHODI-izvori'!E18+' PRIHODI I RASHODI-izvori'!E113</f>
        <v>32979.199999999997</v>
      </c>
      <c r="E70" s="519">
        <f>' PRIHODI I RASHODI-izvori'!F18+' PRIHODI I RASHODI-izvori'!F113</f>
        <v>13000</v>
      </c>
      <c r="F70" s="519">
        <f>' PRIHODI I RASHODI-izvori'!G18+' PRIHODI I RASHODI-izvori'!G113</f>
        <v>13000</v>
      </c>
      <c r="G70" s="519">
        <f>' PRIHODI I RASHODI-izvori'!H18+' PRIHODI I RASHODI-izvori'!H113</f>
        <v>39526.31</v>
      </c>
    </row>
    <row r="71" spans="1:7" x14ac:dyDescent="0.25">
      <c r="A71" s="511"/>
      <c r="B71" s="523">
        <v>31213</v>
      </c>
      <c r="C71" s="523" t="s">
        <v>384</v>
      </c>
      <c r="D71" s="519">
        <f>' PRIHODI I RASHODI-izvori'!E19+' PRIHODI I RASHODI-izvori'!E114</f>
        <v>30736.17</v>
      </c>
      <c r="E71" s="519">
        <f>' PRIHODI I RASHODI-izvori'!F19+' PRIHODI I RASHODI-izvori'!F114</f>
        <v>25000</v>
      </c>
      <c r="F71" s="519">
        <f>' PRIHODI I RASHODI-izvori'!G19+' PRIHODI I RASHODI-izvori'!G114</f>
        <v>25000</v>
      </c>
      <c r="G71" s="519">
        <f>' PRIHODI I RASHODI-izvori'!H19+' PRIHODI I RASHODI-izvori'!H114</f>
        <v>22986.48</v>
      </c>
    </row>
    <row r="72" spans="1:7" x14ac:dyDescent="0.25">
      <c r="A72" s="511"/>
      <c r="B72" s="523">
        <v>31214</v>
      </c>
      <c r="C72" s="523" t="s">
        <v>383</v>
      </c>
      <c r="D72" s="519">
        <f>' PRIHODI I RASHODI-izvori'!E115</f>
        <v>0</v>
      </c>
      <c r="E72" s="519">
        <f>' PRIHODI I RASHODI-izvori'!F115</f>
        <v>2000</v>
      </c>
      <c r="F72" s="519">
        <f>' PRIHODI I RASHODI-izvori'!G115</f>
        <v>2000</v>
      </c>
      <c r="G72" s="519">
        <f>' PRIHODI I RASHODI-izvori'!H115</f>
        <v>0</v>
      </c>
    </row>
    <row r="73" spans="1:7" x14ac:dyDescent="0.25">
      <c r="A73" s="511"/>
      <c r="B73" s="523">
        <v>31215</v>
      </c>
      <c r="C73" s="523" t="s">
        <v>385</v>
      </c>
      <c r="D73" s="519">
        <f>' PRIHODI I RASHODI-izvori'!E116</f>
        <v>4022.98</v>
      </c>
      <c r="E73" s="519">
        <f>' PRIHODI I RASHODI-izvori'!F116</f>
        <v>3800</v>
      </c>
      <c r="F73" s="519">
        <f>' PRIHODI I RASHODI-izvori'!G116</f>
        <v>3800</v>
      </c>
      <c r="G73" s="519">
        <f>' PRIHODI I RASHODI-izvori'!H116</f>
        <v>2524.3200000000002</v>
      </c>
    </row>
    <row r="74" spans="1:7" x14ac:dyDescent="0.25">
      <c r="A74" s="511"/>
      <c r="B74" s="523">
        <v>31216</v>
      </c>
      <c r="C74" s="523" t="s">
        <v>386</v>
      </c>
      <c r="D74" s="519">
        <f>' PRIHODI I RASHODI-izvori'!E117+' PRIHODI I RASHODI-izvori'!E406</f>
        <v>39900</v>
      </c>
      <c r="E74" s="519">
        <f>' PRIHODI I RASHODI-izvori'!F117+' PRIHODI I RASHODI-izvori'!F406</f>
        <v>40300</v>
      </c>
      <c r="F74" s="519">
        <f>' PRIHODI I RASHODI-izvori'!G117+' PRIHODI I RASHODI-izvori'!G406</f>
        <v>40900</v>
      </c>
      <c r="G74" s="519">
        <f>' PRIHODI I RASHODI-izvori'!H117+' PRIHODI I RASHODI-izvori'!H406</f>
        <v>36600</v>
      </c>
    </row>
    <row r="75" spans="1:7" x14ac:dyDescent="0.25">
      <c r="A75" s="511"/>
      <c r="B75" s="523">
        <v>31219</v>
      </c>
      <c r="C75" s="523" t="s">
        <v>381</v>
      </c>
      <c r="D75" s="519">
        <f>' PRIHODI I RASHODI-izvori'!E118+' PRIHODI I RASHODI-izvori'!E301+' PRIHODI I RASHODI-izvori'!E407</f>
        <v>38046.089999999997</v>
      </c>
      <c r="E75" s="519">
        <f>' PRIHODI I RASHODI-izvori'!F118+' PRIHODI I RASHODI-izvori'!F301+' PRIHODI I RASHODI-izvori'!F407</f>
        <v>44091.98</v>
      </c>
      <c r="F75" s="519">
        <f>' PRIHODI I RASHODI-izvori'!G118+' PRIHODI I RASHODI-izvori'!G301+' PRIHODI I RASHODI-izvori'!G407</f>
        <v>44891.98</v>
      </c>
      <c r="G75" s="519">
        <f>' PRIHODI I RASHODI-izvori'!H118+' PRIHODI I RASHODI-izvori'!H301+' PRIHODI I RASHODI-izvori'!H407</f>
        <v>39900</v>
      </c>
    </row>
    <row r="76" spans="1:7" x14ac:dyDescent="0.25">
      <c r="A76" s="511"/>
      <c r="B76" s="524">
        <v>313</v>
      </c>
      <c r="C76" s="524" t="s">
        <v>281</v>
      </c>
      <c r="D76" s="525">
        <f>D77+D78+D80</f>
        <v>545278.49</v>
      </c>
      <c r="E76" s="525">
        <f>E77+E78+E80</f>
        <v>436615.92</v>
      </c>
      <c r="F76" s="525">
        <f>F77+F78+F80</f>
        <v>450137.07</v>
      </c>
      <c r="G76" s="525">
        <f>G77+G78+G80</f>
        <v>558984.91</v>
      </c>
    </row>
    <row r="77" spans="1:7" x14ac:dyDescent="0.25">
      <c r="A77" s="522"/>
      <c r="B77" s="524">
        <v>3131</v>
      </c>
      <c r="C77" s="524" t="s">
        <v>226</v>
      </c>
      <c r="D77" s="519"/>
      <c r="E77" s="519"/>
      <c r="F77" s="519"/>
      <c r="G77" s="519"/>
    </row>
    <row r="78" spans="1:7" x14ac:dyDescent="0.25">
      <c r="A78" s="522"/>
      <c r="B78" s="524">
        <v>3132</v>
      </c>
      <c r="C78" s="524" t="s">
        <v>282</v>
      </c>
      <c r="D78" s="525">
        <f>D79</f>
        <v>545240.75</v>
      </c>
      <c r="E78" s="525">
        <f>E79</f>
        <v>436615.92</v>
      </c>
      <c r="F78" s="525">
        <f>F79</f>
        <v>450137.07</v>
      </c>
      <c r="G78" s="525">
        <f t="shared" ref="G78" si="10">G79</f>
        <v>558972.6</v>
      </c>
    </row>
    <row r="79" spans="1:7" x14ac:dyDescent="0.25">
      <c r="A79" s="511"/>
      <c r="B79" s="523">
        <v>31321</v>
      </c>
      <c r="C79" s="523" t="s">
        <v>282</v>
      </c>
      <c r="D79" s="519">
        <f>' PRIHODI I RASHODI-izvori'!E22+' PRIHODI I RASHODI-izvori'!E121+' PRIHODI I RASHODI-izvori'!E304+' PRIHODI I RASHODI-izvori'!E410</f>
        <v>545240.75</v>
      </c>
      <c r="E79" s="519">
        <f>' PRIHODI I RASHODI-izvori'!F22+' PRIHODI I RASHODI-izvori'!F121+' PRIHODI I RASHODI-izvori'!F304+' PRIHODI I RASHODI-izvori'!F410</f>
        <v>436615.92</v>
      </c>
      <c r="F79" s="519">
        <f>' PRIHODI I RASHODI-izvori'!G22+' PRIHODI I RASHODI-izvori'!G121+' PRIHODI I RASHODI-izvori'!G304+' PRIHODI I RASHODI-izvori'!G410</f>
        <v>450137.07</v>
      </c>
      <c r="G79" s="519">
        <f>' PRIHODI I RASHODI-izvori'!H22+' PRIHODI I RASHODI-izvori'!H121+' PRIHODI I RASHODI-izvori'!H304+' PRIHODI I RASHODI-izvori'!H410</f>
        <v>558972.6</v>
      </c>
    </row>
    <row r="80" spans="1:7" x14ac:dyDescent="0.25">
      <c r="A80" s="511"/>
      <c r="B80" s="524">
        <v>3133</v>
      </c>
      <c r="C80" s="524" t="s">
        <v>566</v>
      </c>
      <c r="D80" s="525">
        <f>D81</f>
        <v>37.74</v>
      </c>
      <c r="E80" s="525">
        <f>E81</f>
        <v>0</v>
      </c>
      <c r="F80" s="525">
        <f>F81</f>
        <v>0</v>
      </c>
      <c r="G80" s="525">
        <f>G81</f>
        <v>12.31</v>
      </c>
    </row>
    <row r="81" spans="1:7" x14ac:dyDescent="0.25">
      <c r="A81" s="511"/>
      <c r="B81" s="523">
        <v>31332</v>
      </c>
      <c r="C81" s="523" t="s">
        <v>565</v>
      </c>
      <c r="D81" s="519">
        <f>' PRIHODI I RASHODI-izvori'!E123</f>
        <v>37.74</v>
      </c>
      <c r="E81" s="519">
        <f>' PRIHODI I RASHODI-izvori'!F123</f>
        <v>0</v>
      </c>
      <c r="F81" s="519">
        <f>' PRIHODI I RASHODI-izvori'!G123</f>
        <v>0</v>
      </c>
      <c r="G81" s="519">
        <f>' PRIHODI I RASHODI-izvori'!H123</f>
        <v>12.31</v>
      </c>
    </row>
    <row r="82" spans="1:7" x14ac:dyDescent="0.25">
      <c r="A82" s="511"/>
      <c r="B82" s="543">
        <v>32</v>
      </c>
      <c r="C82" s="543" t="s">
        <v>102</v>
      </c>
      <c r="D82" s="544">
        <f>D83+D95+D120+D151+D154+D158</f>
        <v>905498.14049999998</v>
      </c>
      <c r="E82" s="544">
        <f>E83+E95+E120+E151+E154+E158</f>
        <v>1058244.53</v>
      </c>
      <c r="F82" s="544">
        <f t="shared" ref="F82:G82" si="11">F83+F95+F120+F151+F154+F158</f>
        <v>1017152.9400000001</v>
      </c>
      <c r="G82" s="544">
        <f t="shared" si="11"/>
        <v>795794.3899999999</v>
      </c>
    </row>
    <row r="83" spans="1:7" x14ac:dyDescent="0.25">
      <c r="A83" s="511"/>
      <c r="B83" s="524">
        <v>321</v>
      </c>
      <c r="C83" s="524" t="s">
        <v>103</v>
      </c>
      <c r="D83" s="525">
        <f>D84+D88+D90+D93</f>
        <v>116890.7405</v>
      </c>
      <c r="E83" s="525">
        <f>E84+E88+E90+E93</f>
        <v>133321.71000000002</v>
      </c>
      <c r="F83" s="525">
        <f>F84+F88+F90+F93</f>
        <v>152963.71000000002</v>
      </c>
      <c r="G83" s="525">
        <f t="shared" ref="G83" si="12">G84+G88+G90+G93</f>
        <v>101793.20000000001</v>
      </c>
    </row>
    <row r="84" spans="1:7" x14ac:dyDescent="0.25">
      <c r="A84" s="511"/>
      <c r="B84" s="524">
        <v>3211</v>
      </c>
      <c r="C84" s="524" t="s">
        <v>105</v>
      </c>
      <c r="D84" s="525">
        <f>SUM(D85:D87)</f>
        <v>7683.1005000000005</v>
      </c>
      <c r="E84" s="525">
        <f>SUM(E85:E87)</f>
        <v>25357.02</v>
      </c>
      <c r="F84" s="525">
        <f>SUM(F85:F87)</f>
        <v>33357.020000000004</v>
      </c>
      <c r="G84" s="525">
        <f t="shared" ref="G84" si="13">SUM(G85:G87)</f>
        <v>5108.32</v>
      </c>
    </row>
    <row r="85" spans="1:7" x14ac:dyDescent="0.25">
      <c r="A85" s="511"/>
      <c r="B85" s="523">
        <v>32111</v>
      </c>
      <c r="C85" s="523" t="s">
        <v>387</v>
      </c>
      <c r="D85" s="519">
        <f>' PRIHODI I RASHODI-izvori'!E26+' PRIHODI I RASHODI-izvori'!E127+' PRIHODI I RASHODI-izvori'!E414+' PRIHODI I RASHODI-izvori'!E497</f>
        <v>5910.0005000000001</v>
      </c>
      <c r="E85" s="519">
        <f>' PRIHODI I RASHODI-izvori'!F26+' PRIHODI I RASHODI-izvori'!F127+' PRIHODI I RASHODI-izvori'!F414+' PRIHODI I RASHODI-izvori'!F497</f>
        <v>17016.169999999998</v>
      </c>
      <c r="F85" s="519">
        <f>' PRIHODI I RASHODI-izvori'!G26+' PRIHODI I RASHODI-izvori'!G127+' PRIHODI I RASHODI-izvori'!G414+' PRIHODI I RASHODI-izvori'!G497</f>
        <v>17516.169999999998</v>
      </c>
      <c r="G85" s="519">
        <f>' PRIHODI I RASHODI-izvori'!H26+' PRIHODI I RASHODI-izvori'!H127+' PRIHODI I RASHODI-izvori'!H414+' PRIHODI I RASHODI-izvori'!H497</f>
        <v>3349.32</v>
      </c>
    </row>
    <row r="86" spans="1:7" x14ac:dyDescent="0.25">
      <c r="A86" s="511"/>
      <c r="B86" s="523">
        <v>32113</v>
      </c>
      <c r="C86" s="523" t="s">
        <v>389</v>
      </c>
      <c r="D86" s="519">
        <f>' PRIHODI I RASHODI-izvori'!E128+' PRIHODI I RASHODI-izvori'!E415</f>
        <v>0</v>
      </c>
      <c r="E86" s="519">
        <f>' PRIHODI I RASHODI-izvori'!F128+' PRIHODI I RASHODI-izvori'!F415</f>
        <v>700</v>
      </c>
      <c r="F86" s="519">
        <f>' PRIHODI I RASHODI-izvori'!G128+' PRIHODI I RASHODI-izvori'!G415</f>
        <v>5800</v>
      </c>
      <c r="G86" s="519">
        <f>' PRIHODI I RASHODI-izvori'!H128+' PRIHODI I RASHODI-izvori'!H415</f>
        <v>827.6</v>
      </c>
    </row>
    <row r="87" spans="1:7" x14ac:dyDescent="0.25">
      <c r="A87" s="511"/>
      <c r="B87" s="523">
        <v>32115</v>
      </c>
      <c r="C87" s="523" t="s">
        <v>390</v>
      </c>
      <c r="D87" s="519">
        <f>' PRIHODI I RASHODI-izvori'!E129+' PRIHODI I RASHODI-izvori'!E308+' PRIHODI I RASHODI-izvori'!E498+' PRIHODI I RASHODI-izvori'!E416</f>
        <v>1773.1</v>
      </c>
      <c r="E87" s="519">
        <f>' PRIHODI I RASHODI-izvori'!F129+' PRIHODI I RASHODI-izvori'!F308+' PRIHODI I RASHODI-izvori'!F498+' PRIHODI I RASHODI-izvori'!F416</f>
        <v>7640.8500000000013</v>
      </c>
      <c r="F87" s="519">
        <f>' PRIHODI I RASHODI-izvori'!G129+' PRIHODI I RASHODI-izvori'!G308+' PRIHODI I RASHODI-izvori'!G498+' PRIHODI I RASHODI-izvori'!G416</f>
        <v>10040.850000000002</v>
      </c>
      <c r="G87" s="519">
        <f>' PRIHODI I RASHODI-izvori'!H129+' PRIHODI I RASHODI-izvori'!H308+' PRIHODI I RASHODI-izvori'!H498+' PRIHODI I RASHODI-izvori'!H416</f>
        <v>931.4</v>
      </c>
    </row>
    <row r="88" spans="1:7" x14ac:dyDescent="0.25">
      <c r="A88" s="511"/>
      <c r="B88" s="524">
        <v>3212</v>
      </c>
      <c r="C88" s="524" t="s">
        <v>388</v>
      </c>
      <c r="D88" s="525">
        <f>D89</f>
        <v>103824.51</v>
      </c>
      <c r="E88" s="525">
        <f>E89</f>
        <v>100465.85</v>
      </c>
      <c r="F88" s="525">
        <f>F89</f>
        <v>106865.85</v>
      </c>
      <c r="G88" s="525">
        <f t="shared" ref="G88" si="14">G89</f>
        <v>92088</v>
      </c>
    </row>
    <row r="89" spans="1:7" x14ac:dyDescent="0.25">
      <c r="A89" s="511"/>
      <c r="B89" s="523">
        <v>32121</v>
      </c>
      <c r="C89" s="523" t="s">
        <v>283</v>
      </c>
      <c r="D89" s="519">
        <f>' PRIHODI I RASHODI-izvori'!E131+' PRIHODI I RASHODI-izvori'!E310+' PRIHODI I RASHODI-izvori'!E418</f>
        <v>103824.51</v>
      </c>
      <c r="E89" s="519">
        <f>' PRIHODI I RASHODI-izvori'!F131+' PRIHODI I RASHODI-izvori'!F310+' PRIHODI I RASHODI-izvori'!F418</f>
        <v>100465.85</v>
      </c>
      <c r="F89" s="519">
        <f>' PRIHODI I RASHODI-izvori'!G131+' PRIHODI I RASHODI-izvori'!G310+' PRIHODI I RASHODI-izvori'!G418</f>
        <v>106865.85</v>
      </c>
      <c r="G89" s="519">
        <f>' PRIHODI I RASHODI-izvori'!H131+' PRIHODI I RASHODI-izvori'!H310+' PRIHODI I RASHODI-izvori'!H418</f>
        <v>92088</v>
      </c>
    </row>
    <row r="90" spans="1:7" x14ac:dyDescent="0.25">
      <c r="A90" s="511"/>
      <c r="B90" s="524">
        <v>3213</v>
      </c>
      <c r="C90" s="524" t="s">
        <v>109</v>
      </c>
      <c r="D90" s="525">
        <f>SUM(D91:D92)</f>
        <v>5383.13</v>
      </c>
      <c r="E90" s="525">
        <f>SUM(E91:E92)</f>
        <v>7100.67</v>
      </c>
      <c r="F90" s="525">
        <f>SUM(F91:F92)</f>
        <v>12342.67</v>
      </c>
      <c r="G90" s="525">
        <f t="shared" ref="G90" si="15">SUM(G91:G92)</f>
        <v>4596.88</v>
      </c>
    </row>
    <row r="91" spans="1:7" x14ac:dyDescent="0.25">
      <c r="A91" s="511"/>
      <c r="B91" s="523">
        <v>32131</v>
      </c>
      <c r="C91" s="523" t="s">
        <v>391</v>
      </c>
      <c r="D91" s="519">
        <f>' PRIHODI I RASHODI-izvori'!E28+' PRIHODI I RASHODI-izvori'!E133</f>
        <v>1080</v>
      </c>
      <c r="E91" s="519">
        <f>' PRIHODI I RASHODI-izvori'!F28+' PRIHODI I RASHODI-izvori'!F133</f>
        <v>2200</v>
      </c>
      <c r="F91" s="519">
        <f>' PRIHODI I RASHODI-izvori'!G28+' PRIHODI I RASHODI-izvori'!G133</f>
        <v>2200</v>
      </c>
      <c r="G91" s="519">
        <f>' PRIHODI I RASHODI-izvori'!H28+' PRIHODI I RASHODI-izvori'!H133</f>
        <v>1802.75</v>
      </c>
    </row>
    <row r="92" spans="1:7" x14ac:dyDescent="0.25">
      <c r="A92" s="511"/>
      <c r="B92" s="523">
        <v>32132</v>
      </c>
      <c r="C92" s="523" t="s">
        <v>392</v>
      </c>
      <c r="D92" s="519">
        <f>' PRIHODI I RASHODI-izvori'!E134+' PRIHODI I RASHODI-izvori'!E312+' PRIHODI I RASHODI-izvori'!E420</f>
        <v>4303.13</v>
      </c>
      <c r="E92" s="519">
        <f>' PRIHODI I RASHODI-izvori'!F134+' PRIHODI I RASHODI-izvori'!F312+' PRIHODI I RASHODI-izvori'!F420</f>
        <v>4900.67</v>
      </c>
      <c r="F92" s="519">
        <f>' PRIHODI I RASHODI-izvori'!G134+' PRIHODI I RASHODI-izvori'!G312+' PRIHODI I RASHODI-izvori'!G420</f>
        <v>10142.67</v>
      </c>
      <c r="G92" s="519">
        <f>' PRIHODI I RASHODI-izvori'!H134+' PRIHODI I RASHODI-izvori'!H312+' PRIHODI I RASHODI-izvori'!H420</f>
        <v>2794.13</v>
      </c>
    </row>
    <row r="93" spans="1:7" x14ac:dyDescent="0.25">
      <c r="A93" s="511"/>
      <c r="B93" s="524">
        <v>3214</v>
      </c>
      <c r="C93" s="524" t="s">
        <v>111</v>
      </c>
      <c r="D93" s="525">
        <f>D94</f>
        <v>0</v>
      </c>
      <c r="E93" s="525">
        <f>E94</f>
        <v>398.17</v>
      </c>
      <c r="F93" s="525">
        <f>F94</f>
        <v>398.17</v>
      </c>
      <c r="G93" s="525">
        <f t="shared" ref="G93" si="16">G94</f>
        <v>0</v>
      </c>
    </row>
    <row r="94" spans="1:7" x14ac:dyDescent="0.25">
      <c r="A94" s="511"/>
      <c r="B94" s="523">
        <v>32141</v>
      </c>
      <c r="C94" s="523" t="s">
        <v>393</v>
      </c>
      <c r="D94" s="519">
        <f>' PRIHODI I RASHODI-izvori'!E136</f>
        <v>0</v>
      </c>
      <c r="E94" s="519">
        <f>' PRIHODI I RASHODI-izvori'!F136</f>
        <v>398.17</v>
      </c>
      <c r="F94" s="519">
        <f>' PRIHODI I RASHODI-izvori'!G136</f>
        <v>398.17</v>
      </c>
      <c r="G94" s="519">
        <f>' PRIHODI I RASHODI-izvori'!H136</f>
        <v>0</v>
      </c>
    </row>
    <row r="95" spans="1:7" x14ac:dyDescent="0.25">
      <c r="A95" s="511"/>
      <c r="B95" s="524">
        <v>322</v>
      </c>
      <c r="C95" s="524" t="s">
        <v>113</v>
      </c>
      <c r="D95" s="525">
        <f>D96+D102+D106+D111+D116+D118</f>
        <v>431247.24</v>
      </c>
      <c r="E95" s="525">
        <f>E96+E102+E106+E111+E116+E118</f>
        <v>492715.5</v>
      </c>
      <c r="F95" s="525">
        <f>F96+F102+F106+F111+F116+F118</f>
        <v>181956.2</v>
      </c>
      <c r="G95" s="525">
        <f t="shared" ref="G95" si="17">G96+G102+G106+G111+G116+G118</f>
        <v>121175.37999999999</v>
      </c>
    </row>
    <row r="96" spans="1:7" x14ac:dyDescent="0.25">
      <c r="A96" s="511"/>
      <c r="B96" s="524">
        <v>3221</v>
      </c>
      <c r="C96" s="524" t="s">
        <v>115</v>
      </c>
      <c r="D96" s="525">
        <f>SUM(D97:D101)</f>
        <v>31308.189999999995</v>
      </c>
      <c r="E96" s="525">
        <f>SUM(E97:E101)</f>
        <v>30501.820000000003</v>
      </c>
      <c r="F96" s="525">
        <f>SUM(F97:F101)</f>
        <v>36501.820000000007</v>
      </c>
      <c r="G96" s="525">
        <f t="shared" ref="G96" si="18">SUM(G97:G101)</f>
        <v>26549.489999999998</v>
      </c>
    </row>
    <row r="97" spans="1:7" x14ac:dyDescent="0.25">
      <c r="A97" s="511"/>
      <c r="B97" s="523">
        <v>32211</v>
      </c>
      <c r="C97" s="523" t="s">
        <v>394</v>
      </c>
      <c r="D97" s="519">
        <f>' PRIHODI I RASHODI-izvori'!E31+' PRIHODI I RASHODI-izvori'!E139+' PRIHODI I RASHODI-izvori'!E316+' PRIHODI I RASHODI-izvori'!E423</f>
        <v>15555.699999999999</v>
      </c>
      <c r="E97" s="519">
        <f>' PRIHODI I RASHODI-izvori'!F31+' PRIHODI I RASHODI-izvori'!F139+' PRIHODI I RASHODI-izvori'!F316+' PRIHODI I RASHODI-izvori'!F423</f>
        <v>12639.19</v>
      </c>
      <c r="F97" s="519">
        <f>' PRIHODI I RASHODI-izvori'!G31+' PRIHODI I RASHODI-izvori'!G139+' PRIHODI I RASHODI-izvori'!G316+' PRIHODI I RASHODI-izvori'!G423</f>
        <v>15439.19</v>
      </c>
      <c r="G97" s="519">
        <f>' PRIHODI I RASHODI-izvori'!H31+' PRIHODI I RASHODI-izvori'!H139+' PRIHODI I RASHODI-izvori'!H316+' PRIHODI I RASHODI-izvori'!H423</f>
        <v>11242.91</v>
      </c>
    </row>
    <row r="98" spans="1:7" x14ac:dyDescent="0.25">
      <c r="A98" s="511"/>
      <c r="B98" s="523">
        <v>32212</v>
      </c>
      <c r="C98" s="523" t="s">
        <v>395</v>
      </c>
      <c r="D98" s="519">
        <f>' PRIHODI I RASHODI-izvori'!E140</f>
        <v>0</v>
      </c>
      <c r="E98" s="519">
        <f>' PRIHODI I RASHODI-izvori'!F140</f>
        <v>500</v>
      </c>
      <c r="F98" s="519">
        <f>' PRIHODI I RASHODI-izvori'!G140</f>
        <v>500</v>
      </c>
      <c r="G98" s="519">
        <f>' PRIHODI I RASHODI-izvori'!H140</f>
        <v>565</v>
      </c>
    </row>
    <row r="99" spans="1:7" x14ac:dyDescent="0.25">
      <c r="A99" s="511"/>
      <c r="B99" s="523">
        <v>32214</v>
      </c>
      <c r="C99" s="523" t="s">
        <v>396</v>
      </c>
      <c r="D99" s="519">
        <f>' PRIHODI I RASHODI-izvori'!E32+' PRIHODI I RASHODI-izvori'!E141</f>
        <v>13684.64</v>
      </c>
      <c r="E99" s="519">
        <f>' PRIHODI I RASHODI-izvori'!F141</f>
        <v>15000</v>
      </c>
      <c r="F99" s="519">
        <f>' PRIHODI I RASHODI-izvori'!G32+' PRIHODI I RASHODI-izvori'!G141+' PRIHODI I RASHODI-izvori'!G424</f>
        <v>17000</v>
      </c>
      <c r="G99" s="519">
        <f>' PRIHODI I RASHODI-izvori'!H32+' PRIHODI I RASHODI-izvori'!H141+' PRIHODI I RASHODI-izvori'!H424</f>
        <v>10713.26</v>
      </c>
    </row>
    <row r="100" spans="1:7" x14ac:dyDescent="0.25">
      <c r="A100" s="511"/>
      <c r="B100" s="523">
        <v>32215</v>
      </c>
      <c r="C100" s="523" t="s">
        <v>397</v>
      </c>
      <c r="D100" s="519">
        <f>' PRIHODI I RASHODI-izvori'!E142</f>
        <v>0</v>
      </c>
      <c r="E100" s="519">
        <f>' PRIHODI I RASHODI-izvori'!F142</f>
        <v>700</v>
      </c>
      <c r="F100" s="519">
        <f>' PRIHODI I RASHODI-izvori'!G142</f>
        <v>700</v>
      </c>
      <c r="G100" s="519">
        <f>' PRIHODI I RASHODI-izvori'!H142</f>
        <v>0</v>
      </c>
    </row>
    <row r="101" spans="1:7" x14ac:dyDescent="0.25">
      <c r="A101" s="511"/>
      <c r="B101" s="523">
        <v>32219</v>
      </c>
      <c r="C101" s="523" t="s">
        <v>398</v>
      </c>
      <c r="D101" s="519">
        <f>' PRIHODI I RASHODI-izvori'!E33+' PRIHODI I RASHODI-izvori'!E143+' PRIHODI I RASHODI-izvori'!E425</f>
        <v>2067.85</v>
      </c>
      <c r="E101" s="519">
        <f>' PRIHODI I RASHODI-izvori'!F33+' PRIHODI I RASHODI-izvori'!F143+' PRIHODI I RASHODI-izvori'!F425</f>
        <v>1662.630000000001</v>
      </c>
      <c r="F101" s="519">
        <f>' PRIHODI I RASHODI-izvori'!G33+' PRIHODI I RASHODI-izvori'!G143+' PRIHODI I RASHODI-izvori'!G425</f>
        <v>2862.630000000001</v>
      </c>
      <c r="G101" s="519">
        <f>' PRIHODI I RASHODI-izvori'!H33+' PRIHODI I RASHODI-izvori'!H143+' PRIHODI I RASHODI-izvori'!H425</f>
        <v>4028.32</v>
      </c>
    </row>
    <row r="102" spans="1:7" x14ac:dyDescent="0.25">
      <c r="A102" s="511"/>
      <c r="B102" s="524">
        <v>3222</v>
      </c>
      <c r="C102" s="524" t="s">
        <v>117</v>
      </c>
      <c r="D102" s="525">
        <f>SUM(D103:D105)</f>
        <v>236716.97</v>
      </c>
      <c r="E102" s="525">
        <f>SUM(E103:E105)</f>
        <v>201075.05</v>
      </c>
      <c r="F102" s="525">
        <f>SUM(F103:F105)</f>
        <v>0</v>
      </c>
      <c r="G102" s="525">
        <f t="shared" ref="G102" si="19">SUM(G103:G105)</f>
        <v>0</v>
      </c>
    </row>
    <row r="103" spans="1:7" x14ac:dyDescent="0.25">
      <c r="A103" s="511"/>
      <c r="B103" s="523">
        <v>32221</v>
      </c>
      <c r="C103" s="523" t="s">
        <v>399</v>
      </c>
      <c r="D103" s="519">
        <f>' PRIHODI I RASHODI-izvori'!E35+' PRIHODI I RASHODI-izvori'!E145+' PRIHODI I RASHODI-izvori'!E318</f>
        <v>218514.66</v>
      </c>
      <c r="E103" s="519">
        <f>' PRIHODI I RASHODI-izvori'!F35+' PRIHODI I RASHODI-izvori'!F145+' PRIHODI I RASHODI-izvori'!F318</f>
        <v>177000</v>
      </c>
      <c r="F103" s="519">
        <f>' PRIHODI I RASHODI-izvori'!G35+' PRIHODI I RASHODI-izvori'!G145+' PRIHODI I RASHODI-izvori'!G318</f>
        <v>0</v>
      </c>
      <c r="G103" s="519">
        <f>' PRIHODI I RASHODI-izvori'!H35+' PRIHODI I RASHODI-izvori'!H145+' PRIHODI I RASHODI-izvori'!H318</f>
        <v>0</v>
      </c>
    </row>
    <row r="104" spans="1:7" x14ac:dyDescent="0.25">
      <c r="A104" s="511"/>
      <c r="B104" s="523">
        <v>32226</v>
      </c>
      <c r="C104" s="523" t="s">
        <v>400</v>
      </c>
      <c r="D104" s="519">
        <f>' PRIHODI I RASHODI-izvori'!E146+' PRIHODI I RASHODI-izvori'!E319</f>
        <v>17989.09</v>
      </c>
      <c r="E104" s="519">
        <f>' PRIHODI I RASHODI-izvori'!F146+' PRIHODI I RASHODI-izvori'!F319</f>
        <v>22954.21</v>
      </c>
      <c r="F104" s="519">
        <f>' PRIHODI I RASHODI-izvori'!G146+' PRIHODI I RASHODI-izvori'!G319</f>
        <v>0</v>
      </c>
      <c r="G104" s="519">
        <f>' PRIHODI I RASHODI-izvori'!H146+' PRIHODI I RASHODI-izvori'!H319</f>
        <v>0</v>
      </c>
    </row>
    <row r="105" spans="1:7" x14ac:dyDescent="0.25">
      <c r="A105" s="511"/>
      <c r="B105" s="523">
        <v>32229</v>
      </c>
      <c r="C105" s="523" t="s">
        <v>401</v>
      </c>
      <c r="D105" s="519">
        <f>' PRIHODI I RASHODI-izvori'!E147</f>
        <v>213.22</v>
      </c>
      <c r="E105" s="519">
        <f>' PRIHODI I RASHODI-izvori'!F147</f>
        <v>1120.8399999999965</v>
      </c>
      <c r="F105" s="519">
        <f>' PRIHODI I RASHODI-izvori'!G147</f>
        <v>0</v>
      </c>
      <c r="G105" s="519">
        <f>' PRIHODI I RASHODI-izvori'!H147</f>
        <v>0</v>
      </c>
    </row>
    <row r="106" spans="1:7" x14ac:dyDescent="0.25">
      <c r="A106" s="511"/>
      <c r="B106" s="524">
        <v>3223</v>
      </c>
      <c r="C106" s="524" t="s">
        <v>119</v>
      </c>
      <c r="D106" s="525">
        <f>SUM(D107:D110)</f>
        <v>149681.41999999998</v>
      </c>
      <c r="E106" s="525">
        <f>SUM(E107:E110)</f>
        <v>221989.61</v>
      </c>
      <c r="F106" s="525">
        <f>SUM(F107:F110)</f>
        <v>106305.36</v>
      </c>
      <c r="G106" s="525">
        <f t="shared" ref="G106" si="20">SUM(G107:G110)</f>
        <v>87663.07</v>
      </c>
    </row>
    <row r="107" spans="1:7" x14ac:dyDescent="0.25">
      <c r="A107" s="511"/>
      <c r="B107" s="523">
        <v>32231</v>
      </c>
      <c r="C107" s="523" t="s">
        <v>403</v>
      </c>
      <c r="D107" s="519">
        <f>' PRIHODI I RASHODI-izvori'!E37+' PRIHODI I RASHODI-izvori'!E149</f>
        <v>29068.43</v>
      </c>
      <c r="E107" s="519">
        <f>' PRIHODI I RASHODI-izvori'!F37+' PRIHODI I RASHODI-izvori'!F149</f>
        <v>29000</v>
      </c>
      <c r="F107" s="519">
        <f>' PRIHODI I RASHODI-izvori'!G37+' PRIHODI I RASHODI-izvori'!G149</f>
        <v>29000</v>
      </c>
      <c r="G107" s="519">
        <f>' PRIHODI I RASHODI-izvori'!H37+' PRIHODI I RASHODI-izvori'!H149</f>
        <v>29871.18</v>
      </c>
    </row>
    <row r="108" spans="1:7" x14ac:dyDescent="0.25">
      <c r="A108" s="511"/>
      <c r="B108" s="523">
        <v>32232</v>
      </c>
      <c r="C108" s="523" t="s">
        <v>404</v>
      </c>
      <c r="D108" s="519">
        <f>' PRIHODI I RASHODI-izvori'!E38+' PRIHODI I RASHODI-izvori'!E150</f>
        <v>2531.2399999999998</v>
      </c>
      <c r="E108" s="519">
        <f>' PRIHODI I RASHODI-izvori'!F38+' PRIHODI I RASHODI-izvori'!F150</f>
        <v>2000</v>
      </c>
      <c r="F108" s="519">
        <f>' PRIHODI I RASHODI-izvori'!G38+' PRIHODI I RASHODI-izvori'!G150</f>
        <v>2000</v>
      </c>
      <c r="G108" s="519">
        <f>' PRIHODI I RASHODI-izvori'!H38+' PRIHODI I RASHODI-izvori'!H150</f>
        <v>2728.44</v>
      </c>
    </row>
    <row r="109" spans="1:7" x14ac:dyDescent="0.25">
      <c r="A109" s="511"/>
      <c r="B109" s="523">
        <v>32233</v>
      </c>
      <c r="C109" s="523" t="s">
        <v>405</v>
      </c>
      <c r="D109" s="519">
        <f>' PRIHODI I RASHODI-izvori'!E39+' PRIHODI I RASHODI-izvori'!E151+' PRIHODI I RASHODI-izvori'!E321</f>
        <v>35537.160000000003</v>
      </c>
      <c r="E109" s="519">
        <f>' PRIHODI I RASHODI-izvori'!F39+' PRIHODI I RASHODI-izvori'!F151+' PRIHODI I RASHODI-izvori'!F321</f>
        <v>49500</v>
      </c>
      <c r="F109" s="519">
        <f>' PRIHODI I RASHODI-izvori'!G39+' PRIHODI I RASHODI-izvori'!G151+' PRIHODI I RASHODI-izvori'!G321</f>
        <v>49500</v>
      </c>
      <c r="G109" s="519">
        <f>' PRIHODI I RASHODI-izvori'!H39+' PRIHODI I RASHODI-izvori'!H151+' PRIHODI I RASHODI-izvori'!H321</f>
        <v>34313.040000000001</v>
      </c>
    </row>
    <row r="110" spans="1:7" x14ac:dyDescent="0.25">
      <c r="A110" s="511"/>
      <c r="B110" s="523">
        <v>32234</v>
      </c>
      <c r="C110" s="523" t="s">
        <v>402</v>
      </c>
      <c r="D110" s="519">
        <f>' PRIHODI I RASHODI-izvori'!E40+' PRIHODI I RASHODI-izvori'!E152+' PRIHODI I RASHODI-izvori'!E322+' PRIHODI I RASHODI-izvori'!E431</f>
        <v>82544.59</v>
      </c>
      <c r="E110" s="519">
        <f>' PRIHODI I RASHODI-izvori'!F40+' PRIHODI I RASHODI-izvori'!F152+' PRIHODI I RASHODI-izvori'!F322+' PRIHODI I RASHODI-izvori'!F431</f>
        <v>141489.60999999999</v>
      </c>
      <c r="F110" s="519">
        <f>' PRIHODI I RASHODI-izvori'!G40+' PRIHODI I RASHODI-izvori'!G152+' PRIHODI I RASHODI-izvori'!G322+' PRIHODI I RASHODI-izvori'!G431</f>
        <v>25805.360000000001</v>
      </c>
      <c r="G110" s="519">
        <f>' PRIHODI I RASHODI-izvori'!H40+' PRIHODI I RASHODI-izvori'!H152+' PRIHODI I RASHODI-izvori'!H322+' PRIHODI I RASHODI-izvori'!H431</f>
        <v>20750.41</v>
      </c>
    </row>
    <row r="111" spans="1:7" x14ac:dyDescent="0.25">
      <c r="A111" s="511"/>
      <c r="B111" s="524">
        <v>3224</v>
      </c>
      <c r="C111" s="524" t="s">
        <v>284</v>
      </c>
      <c r="D111" s="525">
        <f>SUM(D112:D115)</f>
        <v>5636.84</v>
      </c>
      <c r="E111" s="525">
        <f>SUM(E112:E115)</f>
        <v>23222.28</v>
      </c>
      <c r="F111" s="525">
        <f>SUM(F112:F115)</f>
        <v>23222.28</v>
      </c>
      <c r="G111" s="525">
        <f t="shared" ref="G111" si="21">SUM(G112:G115)</f>
        <v>5078.2800000000007</v>
      </c>
    </row>
    <row r="112" spans="1:7" x14ac:dyDescent="0.25">
      <c r="A112" s="511"/>
      <c r="B112" s="523">
        <v>32241</v>
      </c>
      <c r="C112" s="523" t="s">
        <v>406</v>
      </c>
      <c r="D112" s="519">
        <f>' PRIHODI I RASHODI-izvori'!E42+' PRIHODI I RASHODI-izvori'!E154+' PRIHODI I RASHODI-izvori'!E324+' PRIHODI I RASHODI-izvori'!E502</f>
        <v>5030.38</v>
      </c>
      <c r="E112" s="519">
        <f>' PRIHODI I RASHODI-izvori'!F42+' PRIHODI I RASHODI-izvori'!F154+' PRIHODI I RASHODI-izvori'!F324+' PRIHODI I RASHODI-izvori'!F502</f>
        <v>17150</v>
      </c>
      <c r="F112" s="519">
        <f>' PRIHODI I RASHODI-izvori'!G42+' PRIHODI I RASHODI-izvori'!G154+' PRIHODI I RASHODI-izvori'!G324+' PRIHODI I RASHODI-izvori'!G502</f>
        <v>17150</v>
      </c>
      <c r="G112" s="519">
        <f>' PRIHODI I RASHODI-izvori'!H42+' PRIHODI I RASHODI-izvori'!H154+' PRIHODI I RASHODI-izvori'!H324+' PRIHODI I RASHODI-izvori'!H502</f>
        <v>2016.96</v>
      </c>
    </row>
    <row r="113" spans="1:7" x14ac:dyDescent="0.25">
      <c r="A113" s="511"/>
      <c r="B113" s="523">
        <v>32242</v>
      </c>
      <c r="C113" s="523" t="s">
        <v>408</v>
      </c>
      <c r="D113" s="519">
        <f>' PRIHODI I RASHODI-izvori'!E43+' PRIHODI I RASHODI-izvori'!E155</f>
        <v>191.25</v>
      </c>
      <c r="E113" s="519">
        <f>' PRIHODI I RASHODI-izvori'!F43+' PRIHODI I RASHODI-izvori'!F155</f>
        <v>3000</v>
      </c>
      <c r="F113" s="519">
        <f>' PRIHODI I RASHODI-izvori'!G43+' PRIHODI I RASHODI-izvori'!G155</f>
        <v>3000</v>
      </c>
      <c r="G113" s="519">
        <f>' PRIHODI I RASHODI-izvori'!H43+' PRIHODI I RASHODI-izvori'!H155</f>
        <v>2888.26</v>
      </c>
    </row>
    <row r="114" spans="1:7" x14ac:dyDescent="0.25">
      <c r="A114" s="511"/>
      <c r="B114" s="523">
        <v>32243</v>
      </c>
      <c r="C114" s="523" t="s">
        <v>407</v>
      </c>
      <c r="D114" s="519">
        <f>' PRIHODI I RASHODI-izvori'!E156</f>
        <v>415.21</v>
      </c>
      <c r="E114" s="519">
        <f>' PRIHODI I RASHODI-izvori'!F156</f>
        <v>2500</v>
      </c>
      <c r="F114" s="519">
        <f>' PRIHODI I RASHODI-izvori'!G156</f>
        <v>2500</v>
      </c>
      <c r="G114" s="519">
        <f>' PRIHODI I RASHODI-izvori'!H156</f>
        <v>159.80000000000001</v>
      </c>
    </row>
    <row r="115" spans="1:7" x14ac:dyDescent="0.25">
      <c r="A115" s="511"/>
      <c r="B115" s="523">
        <v>32244</v>
      </c>
      <c r="C115" s="523" t="s">
        <v>409</v>
      </c>
      <c r="D115" s="519">
        <f>' PRIHODI I RASHODI-izvori'!E157</f>
        <v>0</v>
      </c>
      <c r="E115" s="519">
        <f>' PRIHODI I RASHODI-izvori'!F157</f>
        <v>572.28000000000065</v>
      </c>
      <c r="F115" s="519">
        <f>' PRIHODI I RASHODI-izvori'!G157</f>
        <v>572.28000000000065</v>
      </c>
      <c r="G115" s="519">
        <f>' PRIHODI I RASHODI-izvori'!H157</f>
        <v>13.26</v>
      </c>
    </row>
    <row r="116" spans="1:7" x14ac:dyDescent="0.25">
      <c r="A116" s="511"/>
      <c r="B116" s="524">
        <v>3225</v>
      </c>
      <c r="C116" s="524" t="s">
        <v>123</v>
      </c>
      <c r="D116" s="525">
        <f>SUM(D117)</f>
        <v>4563.8999999999996</v>
      </c>
      <c r="E116" s="525">
        <f>SUM(E117)</f>
        <v>6636.14</v>
      </c>
      <c r="F116" s="525">
        <f>SUM(F117)</f>
        <v>6636.14</v>
      </c>
      <c r="G116" s="525">
        <f t="shared" ref="G116" si="22">SUM(G117)</f>
        <v>577.79</v>
      </c>
    </row>
    <row r="117" spans="1:7" x14ac:dyDescent="0.25">
      <c r="A117" s="511"/>
      <c r="B117" s="523">
        <v>32251</v>
      </c>
      <c r="C117" s="523" t="s">
        <v>123</v>
      </c>
      <c r="D117" s="519">
        <f>' PRIHODI I RASHODI-izvori'!E45+' PRIHODI I RASHODI-izvori'!E159+' PRIHODI I RASHODI-izvori'!E326</f>
        <v>4563.8999999999996</v>
      </c>
      <c r="E117" s="519">
        <f>' PRIHODI I RASHODI-izvori'!F45+' PRIHODI I RASHODI-izvori'!F159+' PRIHODI I RASHODI-izvori'!F326</f>
        <v>6636.14</v>
      </c>
      <c r="F117" s="519">
        <f>' PRIHODI I RASHODI-izvori'!G45+' PRIHODI I RASHODI-izvori'!G159+' PRIHODI I RASHODI-izvori'!G326</f>
        <v>6636.14</v>
      </c>
      <c r="G117" s="519">
        <f>' PRIHODI I RASHODI-izvori'!H45+' PRIHODI I RASHODI-izvori'!H159+' PRIHODI I RASHODI-izvori'!H326</f>
        <v>577.79</v>
      </c>
    </row>
    <row r="118" spans="1:7" x14ac:dyDescent="0.25">
      <c r="A118" s="511"/>
      <c r="B118" s="524">
        <v>3227</v>
      </c>
      <c r="C118" s="524" t="s">
        <v>125</v>
      </c>
      <c r="D118" s="525">
        <f>SUM(D119)</f>
        <v>3339.92</v>
      </c>
      <c r="E118" s="525">
        <f>SUM(E119)</f>
        <v>9290.6</v>
      </c>
      <c r="F118" s="525">
        <f>SUM(F119)</f>
        <v>9290.6</v>
      </c>
      <c r="G118" s="525">
        <f t="shared" ref="G118" si="23">SUM(G119)</f>
        <v>1306.75</v>
      </c>
    </row>
    <row r="119" spans="1:7" x14ac:dyDescent="0.25">
      <c r="A119" s="511"/>
      <c r="B119" s="523">
        <v>32271</v>
      </c>
      <c r="C119" s="523" t="s">
        <v>125</v>
      </c>
      <c r="D119" s="519">
        <f>' PRIHODI I RASHODI-izvori'!E47+' PRIHODI I RASHODI-izvori'!E161</f>
        <v>3339.92</v>
      </c>
      <c r="E119" s="519">
        <f>' PRIHODI I RASHODI-izvori'!F47+' PRIHODI I RASHODI-izvori'!F161</f>
        <v>9290.6</v>
      </c>
      <c r="F119" s="519">
        <f>' PRIHODI I RASHODI-izvori'!G47+' PRIHODI I RASHODI-izvori'!G161</f>
        <v>9290.6</v>
      </c>
      <c r="G119" s="519">
        <f>' PRIHODI I RASHODI-izvori'!H47+' PRIHODI I RASHODI-izvori'!H161</f>
        <v>1306.75</v>
      </c>
    </row>
    <row r="120" spans="1:7" x14ac:dyDescent="0.25">
      <c r="A120" s="511"/>
      <c r="B120" s="524">
        <v>323</v>
      </c>
      <c r="C120" s="524" t="s">
        <v>127</v>
      </c>
      <c r="D120" s="525">
        <f>D121+D125+D129+D131+D136+D138+D140+D145+D147</f>
        <v>309522.18</v>
      </c>
      <c r="E120" s="525">
        <f>E121+E125+E129+E131+E136+E138+E140+E145+E147</f>
        <v>377379.05</v>
      </c>
      <c r="F120" s="525">
        <f>F121+F125+F129+F131+F136+F138+F140+F145+F147</f>
        <v>380450.55000000005</v>
      </c>
      <c r="G120" s="525">
        <f t="shared" ref="G120" si="24">G121+G125+G129+G131+G136+G138+G140+G145+G147</f>
        <v>287625.96000000002</v>
      </c>
    </row>
    <row r="121" spans="1:7" x14ac:dyDescent="0.25">
      <c r="A121" s="511"/>
      <c r="B121" s="524">
        <v>3231</v>
      </c>
      <c r="C121" s="524" t="s">
        <v>285</v>
      </c>
      <c r="D121" s="525">
        <f>SUM(D122:D124)</f>
        <v>20247.75</v>
      </c>
      <c r="E121" s="525">
        <f>SUM(E122:E124)</f>
        <v>21235.65</v>
      </c>
      <c r="F121" s="525">
        <f t="shared" ref="F121:G121" si="25">SUM(F122:F124)</f>
        <v>27035.65</v>
      </c>
      <c r="G121" s="525">
        <f t="shared" si="25"/>
        <v>19856.400000000001</v>
      </c>
    </row>
    <row r="122" spans="1:7" x14ac:dyDescent="0.25">
      <c r="A122" s="511"/>
      <c r="B122" s="523">
        <v>32311</v>
      </c>
      <c r="C122" s="523" t="s">
        <v>410</v>
      </c>
      <c r="D122" s="519">
        <f>' PRIHODI I RASHODI-izvori'!E164+' PRIHODI I RASHODI-izvori'!E435</f>
        <v>19646.55</v>
      </c>
      <c r="E122" s="519">
        <f>' PRIHODI I RASHODI-izvori'!F164+' PRIHODI I RASHODI-izvori'!F435</f>
        <v>19500</v>
      </c>
      <c r="F122" s="519">
        <f>' PRIHODI I RASHODI-izvori'!G50+' PRIHODI I RASHODI-izvori'!G164+' PRIHODI I RASHODI-izvori'!G435</f>
        <v>22500</v>
      </c>
      <c r="G122" s="519">
        <f>' PRIHODI I RASHODI-izvori'!H50+' PRIHODI I RASHODI-izvori'!H164+' PRIHODI I RASHODI-izvori'!H435</f>
        <v>18453.54</v>
      </c>
    </row>
    <row r="123" spans="1:7" x14ac:dyDescent="0.25">
      <c r="A123" s="511"/>
      <c r="B123" s="545">
        <v>32313</v>
      </c>
      <c r="C123" s="545" t="s">
        <v>411</v>
      </c>
      <c r="D123" s="519">
        <f>' PRIHODI I RASHODI-izvori'!E165</f>
        <v>594.20000000000005</v>
      </c>
      <c r="E123" s="519">
        <f>' PRIHODI I RASHODI-izvori'!F165</f>
        <v>1735.6500000000015</v>
      </c>
      <c r="F123" s="519">
        <f>' PRIHODI I RASHODI-izvori'!G165</f>
        <v>1735.65</v>
      </c>
      <c r="G123" s="519">
        <f>' PRIHODI I RASHODI-izvori'!H165</f>
        <v>665.36</v>
      </c>
    </row>
    <row r="124" spans="1:7" x14ac:dyDescent="0.25">
      <c r="A124" s="511"/>
      <c r="B124" s="406">
        <v>32319</v>
      </c>
      <c r="C124" s="545" t="s">
        <v>587</v>
      </c>
      <c r="D124" s="519">
        <f>' PRIHODI I RASHODI-izvori'!E166+' PRIHODI I RASHODI-izvori'!E436</f>
        <v>7</v>
      </c>
      <c r="E124" s="519">
        <f>' PRIHODI I RASHODI-izvori'!F166+' PRIHODI I RASHODI-izvori'!F436</f>
        <v>0</v>
      </c>
      <c r="F124" s="519">
        <f>' PRIHODI I RASHODI-izvori'!G166+' PRIHODI I RASHODI-izvori'!G436</f>
        <v>2800</v>
      </c>
      <c r="G124" s="519">
        <f>' PRIHODI I RASHODI-izvori'!H166+' PRIHODI I RASHODI-izvori'!H436</f>
        <v>737.5</v>
      </c>
    </row>
    <row r="125" spans="1:7" x14ac:dyDescent="0.25">
      <c r="A125" s="511"/>
      <c r="B125" s="546">
        <v>3232</v>
      </c>
      <c r="C125" s="546" t="s">
        <v>131</v>
      </c>
      <c r="D125" s="525">
        <f>SUM(D126:D128)</f>
        <v>83165.200000000012</v>
      </c>
      <c r="E125" s="525">
        <f>SUM(E126:E128)</f>
        <v>113271.3</v>
      </c>
      <c r="F125" s="525">
        <f>SUM(F126:F128)</f>
        <v>94841.3</v>
      </c>
      <c r="G125" s="525">
        <f t="shared" ref="G125" si="26">SUM(G126:G128)</f>
        <v>64668.04</v>
      </c>
    </row>
    <row r="126" spans="1:7" x14ac:dyDescent="0.25">
      <c r="A126" s="511"/>
      <c r="B126" s="545">
        <v>32321</v>
      </c>
      <c r="C126" s="523" t="s">
        <v>413</v>
      </c>
      <c r="D126" s="519">
        <f>' PRIHODI I RASHODI-izvori'!E52+' PRIHODI I RASHODI-izvori'!E168+' PRIHODI I RASHODI-izvori'!E332+' PRIHODI I RASHODI-izvori'!E505</f>
        <v>20082.59</v>
      </c>
      <c r="E126" s="519">
        <f>' PRIHODI I RASHODI-izvori'!F52+' PRIHODI I RASHODI-izvori'!F168+' PRIHODI I RASHODI-izvori'!F332+' PRIHODI I RASHODI-izvori'!F505</f>
        <v>47470</v>
      </c>
      <c r="F126" s="519">
        <f>' PRIHODI I RASHODI-izvori'!G52+' PRIHODI I RASHODI-izvori'!G168+' PRIHODI I RASHODI-izvori'!G332+' PRIHODI I RASHODI-izvori'!G505</f>
        <v>52001</v>
      </c>
      <c r="G126" s="519">
        <f>' PRIHODI I RASHODI-izvori'!H52+' PRIHODI I RASHODI-izvori'!H168+' PRIHODI I RASHODI-izvori'!H332+' PRIHODI I RASHODI-izvori'!H525</f>
        <v>22673.360000000001</v>
      </c>
    </row>
    <row r="127" spans="1:7" x14ac:dyDescent="0.25">
      <c r="A127" s="511"/>
      <c r="B127" s="545">
        <v>32322</v>
      </c>
      <c r="C127" s="523" t="s">
        <v>414</v>
      </c>
      <c r="D127" s="519">
        <f>' PRIHODI I RASHODI-izvori'!E53+' PRIHODI I RASHODI-izvori'!E169+' PRIHODI I RASHODI-izvori'!E333</f>
        <v>21188.400000000001</v>
      </c>
      <c r="E127" s="519">
        <f>' PRIHODI I RASHODI-izvori'!F53+' PRIHODI I RASHODI-izvori'!F169+' PRIHODI I RASHODI-izvori'!F333</f>
        <v>26360</v>
      </c>
      <c r="F127" s="519">
        <f>' PRIHODI I RASHODI-izvori'!G53+' PRIHODI I RASHODI-izvori'!G169+' PRIHODI I RASHODI-izvori'!G333</f>
        <v>21010</v>
      </c>
      <c r="G127" s="519">
        <f>' PRIHODI I RASHODI-izvori'!H53+' PRIHODI I RASHODI-izvori'!H169+' PRIHODI I RASHODI-izvori'!H333</f>
        <v>23426.79</v>
      </c>
    </row>
    <row r="128" spans="1:7" x14ac:dyDescent="0.25">
      <c r="A128" s="511"/>
      <c r="B128" s="523">
        <v>32323</v>
      </c>
      <c r="C128" s="523" t="s">
        <v>412</v>
      </c>
      <c r="D128" s="519">
        <f>' PRIHODI I RASHODI-izvori'!E54+' PRIHODI I RASHODI-izvori'!E170+' PRIHODI I RASHODI-izvori'!E334</f>
        <v>41894.21</v>
      </c>
      <c r="E128" s="519">
        <f>' PRIHODI I RASHODI-izvori'!F54+' PRIHODI I RASHODI-izvori'!F170+' PRIHODI I RASHODI-izvori'!F334</f>
        <v>39441.300000000003</v>
      </c>
      <c r="F128" s="519">
        <f>' PRIHODI I RASHODI-izvori'!G54+' PRIHODI I RASHODI-izvori'!G170+' PRIHODI I RASHODI-izvori'!G334</f>
        <v>21830.300000000003</v>
      </c>
      <c r="G128" s="519">
        <f>' PRIHODI I RASHODI-izvori'!H54+' PRIHODI I RASHODI-izvori'!H170+' PRIHODI I RASHODI-izvori'!H334</f>
        <v>18567.89</v>
      </c>
    </row>
    <row r="129" spans="1:7" x14ac:dyDescent="0.25">
      <c r="A129" s="511"/>
      <c r="B129" s="524">
        <v>3233</v>
      </c>
      <c r="C129" s="524" t="s">
        <v>133</v>
      </c>
      <c r="D129" s="525">
        <f>SUM(D130)</f>
        <v>0</v>
      </c>
      <c r="E129" s="525">
        <f>SUM(E130)</f>
        <v>663.61</v>
      </c>
      <c r="F129" s="525">
        <f>SUM(F130)</f>
        <v>663.61</v>
      </c>
      <c r="G129" s="525">
        <f t="shared" ref="G129" si="27">SUM(G130)</f>
        <v>989.37</v>
      </c>
    </row>
    <row r="130" spans="1:7" x14ac:dyDescent="0.25">
      <c r="A130" s="511"/>
      <c r="B130" s="523">
        <v>32339</v>
      </c>
      <c r="C130" s="523" t="s">
        <v>415</v>
      </c>
      <c r="D130" s="519">
        <f>' PRIHODI I RASHODI-izvori'!E172+' PRIHODI I RASHODI-izvori'!E438</f>
        <v>0</v>
      </c>
      <c r="E130" s="519">
        <f>' PRIHODI I RASHODI-izvori'!F172+' PRIHODI I RASHODI-izvori'!F438</f>
        <v>663.61</v>
      </c>
      <c r="F130" s="519">
        <f>' PRIHODI I RASHODI-izvori'!G172+' PRIHODI I RASHODI-izvori'!G438</f>
        <v>663.61</v>
      </c>
      <c r="G130" s="519">
        <f>' PRIHODI I RASHODI-izvori'!H172+' PRIHODI I RASHODI-izvori'!H438</f>
        <v>989.37</v>
      </c>
    </row>
    <row r="131" spans="1:7" x14ac:dyDescent="0.25">
      <c r="A131" s="511"/>
      <c r="B131" s="524">
        <v>3234</v>
      </c>
      <c r="C131" s="524" t="s">
        <v>135</v>
      </c>
      <c r="D131" s="525">
        <f>SUM(D132:D135)</f>
        <v>23343.89</v>
      </c>
      <c r="E131" s="525">
        <f>SUM(E132:E135)</f>
        <v>19908.419999999998</v>
      </c>
      <c r="F131" s="525">
        <f>SUM(F132:F135)</f>
        <v>19908.419999999998</v>
      </c>
      <c r="G131" s="525">
        <f t="shared" ref="G131" si="28">SUM(G132:G135)</f>
        <v>24777.899999999998</v>
      </c>
    </row>
    <row r="132" spans="1:7" x14ac:dyDescent="0.25">
      <c r="A132" s="511"/>
      <c r="B132" s="523">
        <v>32341</v>
      </c>
      <c r="C132" s="523" t="s">
        <v>416</v>
      </c>
      <c r="D132" s="519">
        <f>' PRIHODI I RASHODI-izvori'!E56+' PRIHODI I RASHODI-izvori'!E174</f>
        <v>5937.95</v>
      </c>
      <c r="E132" s="519">
        <f>' PRIHODI I RASHODI-izvori'!F56+' PRIHODI I RASHODI-izvori'!F174</f>
        <v>7500</v>
      </c>
      <c r="F132" s="519">
        <f>' PRIHODI I RASHODI-izvori'!G56+' PRIHODI I RASHODI-izvori'!G174</f>
        <v>7500</v>
      </c>
      <c r="G132" s="519">
        <f>' PRIHODI I RASHODI-izvori'!H56+' PRIHODI I RASHODI-izvori'!H174</f>
        <v>6168.1</v>
      </c>
    </row>
    <row r="133" spans="1:7" x14ac:dyDescent="0.25">
      <c r="A133" s="511"/>
      <c r="B133" s="523">
        <v>32342</v>
      </c>
      <c r="C133" s="523" t="s">
        <v>417</v>
      </c>
      <c r="D133" s="519">
        <f>' PRIHODI I RASHODI-izvori'!E57+' PRIHODI I RASHODI-izvori'!E175</f>
        <v>15622.79</v>
      </c>
      <c r="E133" s="519">
        <f>' PRIHODI I RASHODI-izvori'!F57+' PRIHODI I RASHODI-izvori'!F175</f>
        <v>10500</v>
      </c>
      <c r="F133" s="519">
        <f>' PRIHODI I RASHODI-izvori'!G57+' PRIHODI I RASHODI-izvori'!G175</f>
        <v>10500</v>
      </c>
      <c r="G133" s="519">
        <f>' PRIHODI I RASHODI-izvori'!H57+' PRIHODI I RASHODI-izvori'!H175</f>
        <v>18301.349999999999</v>
      </c>
    </row>
    <row r="134" spans="1:7" x14ac:dyDescent="0.25">
      <c r="A134" s="511"/>
      <c r="B134" s="523">
        <v>32343</v>
      </c>
      <c r="C134" s="523" t="s">
        <v>418</v>
      </c>
      <c r="D134" s="519">
        <f>' PRIHODI I RASHODI-izvori'!E176</f>
        <v>1127.96</v>
      </c>
      <c r="E134" s="519">
        <f>' PRIHODI I RASHODI-izvori'!F176</f>
        <v>1500</v>
      </c>
      <c r="F134" s="519">
        <f>' PRIHODI I RASHODI-izvori'!G176</f>
        <v>1500</v>
      </c>
      <c r="G134" s="519">
        <f>' PRIHODI I RASHODI-izvori'!H176</f>
        <v>0</v>
      </c>
    </row>
    <row r="135" spans="1:7" x14ac:dyDescent="0.25">
      <c r="A135" s="511"/>
      <c r="B135" s="523">
        <v>32349</v>
      </c>
      <c r="C135" s="523" t="s">
        <v>419</v>
      </c>
      <c r="D135" s="519">
        <f>' PRIHODI I RASHODI-izvori'!E177</f>
        <v>655.19000000000005</v>
      </c>
      <c r="E135" s="519">
        <f>' PRIHODI I RASHODI-izvori'!F177</f>
        <v>408.41999999999825</v>
      </c>
      <c r="F135" s="519">
        <f>' PRIHODI I RASHODI-izvori'!G177</f>
        <v>408.41999999999825</v>
      </c>
      <c r="G135" s="519">
        <f>' PRIHODI I RASHODI-izvori'!H177</f>
        <v>308.45</v>
      </c>
    </row>
    <row r="136" spans="1:7" x14ac:dyDescent="0.25">
      <c r="A136" s="511"/>
      <c r="B136" s="524">
        <v>3235</v>
      </c>
      <c r="C136" s="524" t="s">
        <v>136</v>
      </c>
      <c r="D136" s="525">
        <f>SUM(D137)</f>
        <v>0</v>
      </c>
      <c r="E136" s="525">
        <f>SUM(E137)</f>
        <v>132.72</v>
      </c>
      <c r="F136" s="525">
        <f>SUM(F137)</f>
        <v>132.72</v>
      </c>
      <c r="G136" s="525">
        <f t="shared" ref="G136" si="29">SUM(G137)</f>
        <v>0</v>
      </c>
    </row>
    <row r="137" spans="1:7" x14ac:dyDescent="0.25">
      <c r="A137" s="511"/>
      <c r="B137" s="523">
        <v>32359</v>
      </c>
      <c r="C137" s="523" t="s">
        <v>420</v>
      </c>
      <c r="D137" s="519">
        <f>' PRIHODI I RASHODI-izvori'!E179</f>
        <v>0</v>
      </c>
      <c r="E137" s="519">
        <f>' PRIHODI I RASHODI-izvori'!F179</f>
        <v>132.72</v>
      </c>
      <c r="F137" s="519">
        <f>' PRIHODI I RASHODI-izvori'!G179</f>
        <v>132.72</v>
      </c>
      <c r="G137" s="519">
        <f>' PRIHODI I RASHODI-izvori'!H179</f>
        <v>0</v>
      </c>
    </row>
    <row r="138" spans="1:7" x14ac:dyDescent="0.25">
      <c r="A138" s="511"/>
      <c r="B138" s="524">
        <v>3236</v>
      </c>
      <c r="C138" s="524" t="s">
        <v>137</v>
      </c>
      <c r="D138" s="525">
        <f>SUM(D139)</f>
        <v>33880.61</v>
      </c>
      <c r="E138" s="525">
        <f>SUM(E139)</f>
        <v>25217.34</v>
      </c>
      <c r="F138" s="525">
        <f>SUM(F139)</f>
        <v>32217.34</v>
      </c>
      <c r="G138" s="525">
        <f t="shared" ref="G138" si="30">SUM(G139)</f>
        <v>25764.21</v>
      </c>
    </row>
    <row r="139" spans="1:7" x14ac:dyDescent="0.25">
      <c r="A139" s="511"/>
      <c r="B139" s="523">
        <v>32369</v>
      </c>
      <c r="C139" s="523" t="s">
        <v>421</v>
      </c>
      <c r="D139" s="519">
        <f>' PRIHODI I RASHODI-izvori'!E59+' PRIHODI I RASHODI-izvori'!E181+' PRIHODI I RASHODI-izvori'!E339+' PRIHODI I RASHODI-izvori'!E440</f>
        <v>33880.61</v>
      </c>
      <c r="E139" s="519">
        <f>' PRIHODI I RASHODI-izvori'!F181+' PRIHODI I RASHODI-izvori'!F339+' PRIHODI I RASHODI-izvori'!F440</f>
        <v>25217.34</v>
      </c>
      <c r="F139" s="519">
        <f>' PRIHODI I RASHODI-izvori'!G59+' PRIHODI I RASHODI-izvori'!G181+' PRIHODI I RASHODI-izvori'!G339+' PRIHODI I RASHODI-izvori'!G440</f>
        <v>32217.34</v>
      </c>
      <c r="G139" s="519">
        <f>' PRIHODI I RASHODI-izvori'!H59+' PRIHODI I RASHODI-izvori'!H181+' PRIHODI I RASHODI-izvori'!H339+' PRIHODI I RASHODI-izvori'!H440</f>
        <v>25764.21</v>
      </c>
    </row>
    <row r="140" spans="1:7" x14ac:dyDescent="0.25">
      <c r="A140" s="511"/>
      <c r="B140" s="524">
        <v>3237</v>
      </c>
      <c r="C140" s="524" t="s">
        <v>138</v>
      </c>
      <c r="D140" s="525">
        <f>SUM(D141:D144)</f>
        <v>92306.45</v>
      </c>
      <c r="E140" s="525">
        <f>SUM(E141:E144)</f>
        <v>118144.50000000001</v>
      </c>
      <c r="F140" s="525">
        <f>SUM(F141:F144)</f>
        <v>118566.00000000001</v>
      </c>
      <c r="G140" s="525">
        <f t="shared" ref="G140" si="31">SUM(G141:G144)</f>
        <v>97802.75</v>
      </c>
    </row>
    <row r="141" spans="1:7" x14ac:dyDescent="0.25">
      <c r="A141" s="511"/>
      <c r="B141" s="523">
        <v>32372</v>
      </c>
      <c r="C141" s="523" t="s">
        <v>422</v>
      </c>
      <c r="D141" s="519">
        <f>' PRIHODI I RASHODI-izvori'!E61+' PRIHODI I RASHODI-izvori'!E183+' PRIHODI I RASHODI-izvori'!E341+' PRIHODI I RASHODI-izvori'!E442</f>
        <v>67069.440000000002</v>
      </c>
      <c r="E141" s="519">
        <f>' PRIHODI I RASHODI-izvori'!F61+' PRIHODI I RASHODI-izvori'!F183+' PRIHODI I RASHODI-izvori'!F341+' PRIHODI I RASHODI-izvori'!F442</f>
        <v>102164.04000000001</v>
      </c>
      <c r="F141" s="519">
        <f>' PRIHODI I RASHODI-izvori'!G61+' PRIHODI I RASHODI-izvori'!G183+' PRIHODI I RASHODI-izvori'!G341+' PRIHODI I RASHODI-izvori'!G442</f>
        <v>102585.54000000001</v>
      </c>
      <c r="G141" s="519">
        <f>' PRIHODI I RASHODI-izvori'!H61+' PRIHODI I RASHODI-izvori'!H183+' PRIHODI I RASHODI-izvori'!H341+' PRIHODI I RASHODI-izvori'!H442</f>
        <v>78536.7</v>
      </c>
    </row>
    <row r="142" spans="1:7" x14ac:dyDescent="0.25">
      <c r="A142" s="511"/>
      <c r="B142" s="523">
        <v>32373</v>
      </c>
      <c r="C142" s="523" t="s">
        <v>423</v>
      </c>
      <c r="D142" s="519">
        <f>' PRIHODI I RASHODI-izvori'!E62+' PRIHODI I RASHODI-izvori'!E184</f>
        <v>18195.37</v>
      </c>
      <c r="E142" s="519">
        <f>' PRIHODI I RASHODI-izvori'!F62+' PRIHODI I RASHODI-izvori'!F184</f>
        <v>12000</v>
      </c>
      <c r="F142" s="519">
        <f>' PRIHODI I RASHODI-izvori'!G62+' PRIHODI I RASHODI-izvori'!G184</f>
        <v>12000</v>
      </c>
      <c r="G142" s="519">
        <f>' PRIHODI I RASHODI-izvori'!H62+' PRIHODI I RASHODI-izvori'!H184</f>
        <v>16250</v>
      </c>
    </row>
    <row r="143" spans="1:7" x14ac:dyDescent="0.25">
      <c r="A143" s="511"/>
      <c r="B143" s="523">
        <v>32375</v>
      </c>
      <c r="C143" s="523" t="s">
        <v>588</v>
      </c>
      <c r="D143" s="519">
        <f>' PRIHODI I RASHODI-izvori'!E185</f>
        <v>1312.5</v>
      </c>
      <c r="E143" s="519">
        <f>' PRIHODI I RASHODI-izvori'!F185</f>
        <v>0</v>
      </c>
      <c r="F143" s="519">
        <f>' PRIHODI I RASHODI-izvori'!G185</f>
        <v>0</v>
      </c>
      <c r="G143" s="519">
        <f>' PRIHODI I RASHODI-izvori'!H185</f>
        <v>750</v>
      </c>
    </row>
    <row r="144" spans="1:7" x14ac:dyDescent="0.25">
      <c r="A144" s="511"/>
      <c r="B144" s="523">
        <v>32379</v>
      </c>
      <c r="C144" s="523" t="s">
        <v>490</v>
      </c>
      <c r="D144" s="519">
        <f>' PRIHODI I RASHODI-izvori'!E63+' PRIHODI I RASHODI-izvori'!E186+' PRIHODI I RASHODI-izvori'!E443</f>
        <v>5729.14</v>
      </c>
      <c r="E144" s="519">
        <f>' PRIHODI I RASHODI-izvori'!F63+' PRIHODI I RASHODI-izvori'!F186+' PRIHODI I RASHODI-izvori'!F443</f>
        <v>3980.4600000000064</v>
      </c>
      <c r="F144" s="519">
        <f>' PRIHODI I RASHODI-izvori'!G63+' PRIHODI I RASHODI-izvori'!G186+' PRIHODI I RASHODI-izvori'!G443</f>
        <v>3980.46</v>
      </c>
      <c r="G144" s="519">
        <f>' PRIHODI I RASHODI-izvori'!H63+' PRIHODI I RASHODI-izvori'!H186+' PRIHODI I RASHODI-izvori'!H443</f>
        <v>2266.0500000000002</v>
      </c>
    </row>
    <row r="145" spans="1:7" x14ac:dyDescent="0.25">
      <c r="A145" s="511"/>
      <c r="B145" s="524">
        <v>3238</v>
      </c>
      <c r="C145" s="524" t="s">
        <v>140</v>
      </c>
      <c r="D145" s="525">
        <f>SUM(D146)</f>
        <v>44056.47</v>
      </c>
      <c r="E145" s="525">
        <f>SUM(E146)</f>
        <v>50801.19</v>
      </c>
      <c r="F145" s="525">
        <f>SUM(F146)</f>
        <v>58581.19</v>
      </c>
      <c r="G145" s="525">
        <f t="shared" ref="G145" si="32">SUM(G146)</f>
        <v>47399.15</v>
      </c>
    </row>
    <row r="146" spans="1:7" x14ac:dyDescent="0.25">
      <c r="A146" s="511"/>
      <c r="B146" s="523">
        <v>32389</v>
      </c>
      <c r="C146" s="523" t="s">
        <v>424</v>
      </c>
      <c r="D146" s="519">
        <f>' PRIHODI I RASHODI-izvori'!E65+' PRIHODI I RASHODI-izvori'!E188</f>
        <v>44056.47</v>
      </c>
      <c r="E146" s="519">
        <f>' PRIHODI I RASHODI-izvori'!F65+' PRIHODI I RASHODI-izvori'!F188</f>
        <v>50801.19</v>
      </c>
      <c r="F146" s="519">
        <f>' PRIHODI I RASHODI-izvori'!G65+' PRIHODI I RASHODI-izvori'!G188</f>
        <v>58581.19</v>
      </c>
      <c r="G146" s="519">
        <f>' PRIHODI I RASHODI-izvori'!H65+' PRIHODI I RASHODI-izvori'!H188</f>
        <v>47399.15</v>
      </c>
    </row>
    <row r="147" spans="1:7" x14ac:dyDescent="0.25">
      <c r="A147" s="511"/>
      <c r="B147" s="524">
        <v>3239</v>
      </c>
      <c r="C147" s="524" t="s">
        <v>142</v>
      </c>
      <c r="D147" s="525">
        <f>SUM(D148:D150)</f>
        <v>12521.81</v>
      </c>
      <c r="E147" s="525">
        <f>SUM(E148:E150)</f>
        <v>28004.32</v>
      </c>
      <c r="F147" s="525">
        <f>SUM(F148:F150)</f>
        <v>28504.32</v>
      </c>
      <c r="G147" s="525">
        <f t="shared" ref="G147" si="33">SUM(G148:G150)</f>
        <v>6368.1399999999994</v>
      </c>
    </row>
    <row r="148" spans="1:7" x14ac:dyDescent="0.25">
      <c r="A148" s="511"/>
      <c r="B148" s="523">
        <v>32394</v>
      </c>
      <c r="C148" s="523" t="s">
        <v>425</v>
      </c>
      <c r="D148" s="519">
        <f>' PRIHODI I RASHODI-izvori'!E67+' PRIHODI I RASHODI-izvori'!E190</f>
        <v>2964.32</v>
      </c>
      <c r="E148" s="519">
        <f>' PRIHODI I RASHODI-izvori'!F190</f>
        <v>4000</v>
      </c>
      <c r="F148" s="519">
        <f>' PRIHODI I RASHODI-izvori'!G190</f>
        <v>4000</v>
      </c>
      <c r="G148" s="519">
        <f>' PRIHODI I RASHODI-izvori'!H190+' PRIHODI I RASHODI-izvori'!H445</f>
        <v>2190.91</v>
      </c>
    </row>
    <row r="149" spans="1:7" x14ac:dyDescent="0.25">
      <c r="A149" s="511"/>
      <c r="B149" s="523">
        <v>32395</v>
      </c>
      <c r="C149" s="523" t="s">
        <v>426</v>
      </c>
      <c r="D149" s="519">
        <f>' PRIHODI I RASHODI-izvori'!E191</f>
        <v>5622</v>
      </c>
      <c r="E149" s="519">
        <f>' PRIHODI I RASHODI-izvori'!F191</f>
        <v>6500</v>
      </c>
      <c r="F149" s="519">
        <f>' PRIHODI I RASHODI-izvori'!G191</f>
        <v>6500</v>
      </c>
      <c r="G149" s="519">
        <f>' PRIHODI I RASHODI-izvori'!H191</f>
        <v>0</v>
      </c>
    </row>
    <row r="150" spans="1:7" x14ac:dyDescent="0.25">
      <c r="A150" s="511"/>
      <c r="B150" s="523">
        <v>32399</v>
      </c>
      <c r="C150" s="523" t="s">
        <v>305</v>
      </c>
      <c r="D150" s="519">
        <f>' PRIHODI I RASHODI-izvori'!E68+' PRIHODI I RASHODI-izvori'!E192+' PRIHODI I RASHODI-izvori'!E344+' PRIHODI I RASHODI-izvori'!E446</f>
        <v>3935.4900000000002</v>
      </c>
      <c r="E150" s="519">
        <f>' PRIHODI I RASHODI-izvori'!F192+' PRIHODI I RASHODI-izvori'!F344+' PRIHODI I RASHODI-izvori'!F446</f>
        <v>17504.32</v>
      </c>
      <c r="F150" s="519">
        <f>' PRIHODI I RASHODI-izvori'!G192+' PRIHODI I RASHODI-izvori'!G344+' PRIHODI I RASHODI-izvori'!G446</f>
        <v>18004.32</v>
      </c>
      <c r="G150" s="519">
        <f>' PRIHODI I RASHODI-izvori'!H192+' PRIHODI I RASHODI-izvori'!H344+' PRIHODI I RASHODI-izvori'!H446</f>
        <v>4177.2299999999996</v>
      </c>
    </row>
    <row r="151" spans="1:7" x14ac:dyDescent="0.25">
      <c r="A151" s="511"/>
      <c r="B151" s="524">
        <v>324</v>
      </c>
      <c r="C151" s="524" t="s">
        <v>286</v>
      </c>
      <c r="D151" s="525">
        <f>SUM(D153)</f>
        <v>0</v>
      </c>
      <c r="E151" s="525">
        <f>SUM(E153)</f>
        <v>398.17</v>
      </c>
      <c r="F151" s="525">
        <f>SUM(F153)</f>
        <v>398.17</v>
      </c>
      <c r="G151" s="525">
        <f t="shared" ref="G151" si="34">SUM(G153)</f>
        <v>0</v>
      </c>
    </row>
    <row r="152" spans="1:7" x14ac:dyDescent="0.25">
      <c r="A152" s="511"/>
      <c r="B152" s="524">
        <v>3241</v>
      </c>
      <c r="C152" s="523" t="s">
        <v>287</v>
      </c>
      <c r="D152" s="525">
        <f>D153</f>
        <v>0</v>
      </c>
      <c r="E152" s="525">
        <f>E153</f>
        <v>398.17</v>
      </c>
      <c r="F152" s="525">
        <f>F153</f>
        <v>398.17</v>
      </c>
      <c r="G152" s="525">
        <f t="shared" ref="G152" si="35">G153</f>
        <v>0</v>
      </c>
    </row>
    <row r="153" spans="1:7" x14ac:dyDescent="0.25">
      <c r="A153" s="511"/>
      <c r="B153" s="523">
        <v>32412</v>
      </c>
      <c r="C153" s="523" t="s">
        <v>436</v>
      </c>
      <c r="D153" s="519">
        <f>' PRIHODI I RASHODI-izvori'!E195</f>
        <v>0</v>
      </c>
      <c r="E153" s="519">
        <f>' PRIHODI I RASHODI-izvori'!F195</f>
        <v>398.17</v>
      </c>
      <c r="F153" s="519">
        <f>' PRIHODI I RASHODI-izvori'!G195</f>
        <v>398.17</v>
      </c>
      <c r="G153" s="519">
        <f>' PRIHODI I RASHODI-izvori'!H195</f>
        <v>0</v>
      </c>
    </row>
    <row r="154" spans="1:7" x14ac:dyDescent="0.25">
      <c r="A154" s="511"/>
      <c r="B154" s="547" t="s">
        <v>609</v>
      </c>
      <c r="C154" s="524" t="s">
        <v>127</v>
      </c>
      <c r="D154" s="525">
        <f>D155</f>
        <v>0</v>
      </c>
      <c r="E154" s="525">
        <f>E155</f>
        <v>0</v>
      </c>
      <c r="F154" s="525">
        <f>F155</f>
        <v>245954.21</v>
      </c>
      <c r="G154" s="525">
        <f t="shared" ref="G154" si="36">G155</f>
        <v>239595.64999999997</v>
      </c>
    </row>
    <row r="155" spans="1:7" x14ac:dyDescent="0.25">
      <c r="A155" s="511"/>
      <c r="B155" s="547" t="s">
        <v>610</v>
      </c>
      <c r="C155" s="524" t="s">
        <v>142</v>
      </c>
      <c r="D155" s="525">
        <f>D156+D157</f>
        <v>0</v>
      </c>
      <c r="E155" s="525">
        <f>E156+E157</f>
        <v>0</v>
      </c>
      <c r="F155" s="525">
        <f>F156+F157</f>
        <v>245954.21</v>
      </c>
      <c r="G155" s="525">
        <f>G156+G157</f>
        <v>239595.64999999997</v>
      </c>
    </row>
    <row r="156" spans="1:7" x14ac:dyDescent="0.25">
      <c r="A156" s="511"/>
      <c r="B156" s="548" t="s">
        <v>611</v>
      </c>
      <c r="C156" s="523" t="s">
        <v>613</v>
      </c>
      <c r="D156" s="519">
        <f>' PRIHODI I RASHODI-izvori'!E198+' PRIHODI I RASHODI-izvori'!E347+' PRIHODI I RASHODI-izvori'!E449</f>
        <v>0</v>
      </c>
      <c r="E156" s="519">
        <f>' PRIHODI I RASHODI-izvori'!F198+' PRIHODI I RASHODI-izvori'!F347+' PRIHODI I RASHODI-izvori'!F449</f>
        <v>0</v>
      </c>
      <c r="F156" s="519">
        <f>' PRIHODI I RASHODI-izvori'!G71+' PRIHODI I RASHODI-izvori'!G198+' PRIHODI I RASHODI-izvori'!G347+' PRIHODI I RASHODI-izvori'!G449</f>
        <v>36954.21</v>
      </c>
      <c r="G156" s="519">
        <f>' PRIHODI I RASHODI-izvori'!H71+' PRIHODI I RASHODI-izvori'!H198+' PRIHODI I RASHODI-izvori'!H347+' PRIHODI I RASHODI-izvori'!H449</f>
        <v>20945.169999999998</v>
      </c>
    </row>
    <row r="157" spans="1:7" x14ac:dyDescent="0.25">
      <c r="A157" s="511"/>
      <c r="B157" s="548" t="s">
        <v>612</v>
      </c>
      <c r="C157" s="523" t="s">
        <v>614</v>
      </c>
      <c r="D157" s="519">
        <f>' PRIHODI I RASHODI-izvori'!E199+' PRIHODI I RASHODI-izvori'!E348+' PRIHODI I RASHODI-izvori'!E450</f>
        <v>0</v>
      </c>
      <c r="E157" s="519">
        <f>' PRIHODI I RASHODI-izvori'!F199+' PRIHODI I RASHODI-izvori'!F348+' PRIHODI I RASHODI-izvori'!F450</f>
        <v>0</v>
      </c>
      <c r="F157" s="519">
        <f>' PRIHODI I RASHODI-izvori'!G72+' PRIHODI I RASHODI-izvori'!G199+' PRIHODI I RASHODI-izvori'!G348+' PRIHODI I RASHODI-izvori'!G450</f>
        <v>209000</v>
      </c>
      <c r="G157" s="519">
        <f>' PRIHODI I RASHODI-izvori'!H72+' PRIHODI I RASHODI-izvori'!H199+' PRIHODI I RASHODI-izvori'!H348+' PRIHODI I RASHODI-izvori'!H450</f>
        <v>218650.47999999998</v>
      </c>
    </row>
    <row r="158" spans="1:7" x14ac:dyDescent="0.25">
      <c r="A158" s="511"/>
      <c r="B158" s="524">
        <v>329</v>
      </c>
      <c r="C158" s="524" t="s">
        <v>144</v>
      </c>
      <c r="D158" s="525">
        <f>D159+D161+D165+D167+D169+D174+D176</f>
        <v>47837.979999999996</v>
      </c>
      <c r="E158" s="525">
        <f>E159+E161+E165+E167+E169+E174+E176</f>
        <v>54430.099999999991</v>
      </c>
      <c r="F158" s="525">
        <f>F159+F161+F165+F167+F169+F174+F176</f>
        <v>55430.099999999991</v>
      </c>
      <c r="G158" s="525">
        <f>G159+G161+G165+G167+G169+G174+G176</f>
        <v>45604.200000000004</v>
      </c>
    </row>
    <row r="159" spans="1:7" x14ac:dyDescent="0.25">
      <c r="A159" s="511"/>
      <c r="B159" s="524">
        <v>3291</v>
      </c>
      <c r="C159" s="524" t="s">
        <v>288</v>
      </c>
      <c r="D159" s="525">
        <f>SUM(D160)</f>
        <v>8798.64</v>
      </c>
      <c r="E159" s="525">
        <f>SUM(E160)</f>
        <v>11613.25</v>
      </c>
      <c r="F159" s="525">
        <f>SUM(F160)</f>
        <v>11613.25</v>
      </c>
      <c r="G159" s="525">
        <f t="shared" ref="G159" si="37">SUM(G160)</f>
        <v>8798.64</v>
      </c>
    </row>
    <row r="160" spans="1:7" x14ac:dyDescent="0.25">
      <c r="A160" s="511"/>
      <c r="B160" s="523">
        <v>32911</v>
      </c>
      <c r="C160" s="523" t="s">
        <v>288</v>
      </c>
      <c r="D160" s="519">
        <f>' PRIHODI I RASHODI-izvori'!E202</f>
        <v>8798.64</v>
      </c>
      <c r="E160" s="519">
        <f>' PRIHODI I RASHODI-izvori'!F202</f>
        <v>11613.25</v>
      </c>
      <c r="F160" s="519">
        <f>' PRIHODI I RASHODI-izvori'!G202</f>
        <v>11613.25</v>
      </c>
      <c r="G160" s="519">
        <f>' PRIHODI I RASHODI-izvori'!H202</f>
        <v>8798.64</v>
      </c>
    </row>
    <row r="161" spans="1:7" x14ac:dyDescent="0.25">
      <c r="A161" s="511"/>
      <c r="B161" s="524">
        <v>3292</v>
      </c>
      <c r="C161" s="524" t="s">
        <v>428</v>
      </c>
      <c r="D161" s="525">
        <f>SUM(D162:D164)</f>
        <v>25454.42</v>
      </c>
      <c r="E161" s="525">
        <f>SUM(E162:E164)</f>
        <v>23890.11</v>
      </c>
      <c r="F161" s="525">
        <f>SUM(F162:F164)</f>
        <v>23890.11</v>
      </c>
      <c r="G161" s="525">
        <f t="shared" ref="G161" si="38">SUM(G162:G164)</f>
        <v>25250.25</v>
      </c>
    </row>
    <row r="162" spans="1:7" x14ac:dyDescent="0.25">
      <c r="A162" s="511"/>
      <c r="B162" s="523">
        <v>32921</v>
      </c>
      <c r="C162" s="523" t="s">
        <v>430</v>
      </c>
      <c r="D162" s="519">
        <f>' PRIHODI I RASHODI-izvori'!E75+' PRIHODI I RASHODI-izvori'!E204+' PRIHODI I RASHODI-izvori'!E352+' PRIHODI I RASHODI-izvori'!E528</f>
        <v>14304.39</v>
      </c>
      <c r="E162" s="519">
        <f>' PRIHODI I RASHODI-izvori'!F75+' PRIHODI I RASHODI-izvori'!F204+' PRIHODI I RASHODI-izvori'!F352+' PRIHODI I RASHODI-izvori'!F528</f>
        <v>12904.46</v>
      </c>
      <c r="F162" s="519">
        <f>' PRIHODI I RASHODI-izvori'!G75+' PRIHODI I RASHODI-izvori'!G204+' PRIHODI I RASHODI-izvori'!G352+' PRIHODI I RASHODI-izvori'!G528</f>
        <v>12904.46</v>
      </c>
      <c r="G162" s="519">
        <f>' PRIHODI I RASHODI-izvori'!H75+' PRIHODI I RASHODI-izvori'!H204+' PRIHODI I RASHODI-izvori'!H352+' PRIHODI I RASHODI-izvori'!H528</f>
        <v>14729.36</v>
      </c>
    </row>
    <row r="163" spans="1:7" x14ac:dyDescent="0.25">
      <c r="A163" s="511"/>
      <c r="B163" s="523">
        <v>32922</v>
      </c>
      <c r="C163" s="523" t="s">
        <v>429</v>
      </c>
      <c r="D163" s="519">
        <f>' PRIHODI I RASHODI-izvori'!E205</f>
        <v>2766.74</v>
      </c>
      <c r="E163" s="519">
        <f>' PRIHODI I RASHODI-izvori'!F205</f>
        <v>2100</v>
      </c>
      <c r="F163" s="519">
        <f>' PRIHODI I RASHODI-izvori'!G205</f>
        <v>2100</v>
      </c>
      <c r="G163" s="519">
        <f>' PRIHODI I RASHODI-izvori'!H205</f>
        <v>2580.17</v>
      </c>
    </row>
    <row r="164" spans="1:7" x14ac:dyDescent="0.25">
      <c r="A164" s="511"/>
      <c r="B164" s="523">
        <v>32923</v>
      </c>
      <c r="C164" s="523" t="s">
        <v>427</v>
      </c>
      <c r="D164" s="519">
        <f>' PRIHODI I RASHODI-izvori'!E76+' PRIHODI I RASHODI-izvori'!E206</f>
        <v>8383.2899999999991</v>
      </c>
      <c r="E164" s="519">
        <f>' PRIHODI I RASHODI-izvori'!F76+' PRIHODI I RASHODI-izvori'!F206</f>
        <v>8885.6500000000015</v>
      </c>
      <c r="F164" s="519">
        <f>' PRIHODI I RASHODI-izvori'!G76+' PRIHODI I RASHODI-izvori'!G206</f>
        <v>8885.6500000000015</v>
      </c>
      <c r="G164" s="519">
        <f>' PRIHODI I RASHODI-izvori'!H76+' PRIHODI I RASHODI-izvori'!H206</f>
        <v>7940.72</v>
      </c>
    </row>
    <row r="165" spans="1:7" x14ac:dyDescent="0.25">
      <c r="A165" s="511"/>
      <c r="B165" s="524">
        <v>3293</v>
      </c>
      <c r="C165" s="524" t="s">
        <v>148</v>
      </c>
      <c r="D165" s="525">
        <f>SUM(D166)</f>
        <v>4464.99</v>
      </c>
      <c r="E165" s="525">
        <f>SUM(E166)</f>
        <v>3318.07</v>
      </c>
      <c r="F165" s="525">
        <f>SUM(F166)</f>
        <v>4318.07</v>
      </c>
      <c r="G165" s="525">
        <f t="shared" ref="G165" si="39">SUM(G166)</f>
        <v>3324.16</v>
      </c>
    </row>
    <row r="166" spans="1:7" x14ac:dyDescent="0.25">
      <c r="A166" s="511"/>
      <c r="B166" s="523">
        <v>32931</v>
      </c>
      <c r="C166" s="523" t="s">
        <v>148</v>
      </c>
      <c r="D166" s="519">
        <f>' PRIHODI I RASHODI-izvori'!E78+' PRIHODI I RASHODI-izvori'!E208+' PRIHODI I RASHODI-izvori'!E354+' PRIHODI I RASHODI-izvori'!E455</f>
        <v>4464.99</v>
      </c>
      <c r="E166" s="519">
        <f>' PRIHODI I RASHODI-izvori'!F208+' PRIHODI I RASHODI-izvori'!F354+' PRIHODI I RASHODI-izvori'!F455</f>
        <v>3318.07</v>
      </c>
      <c r="F166" s="519">
        <f>' PRIHODI I RASHODI-izvori'!G208+' PRIHODI I RASHODI-izvori'!G354+' PRIHODI I RASHODI-izvori'!G455</f>
        <v>4318.07</v>
      </c>
      <c r="G166" s="519">
        <f>' PRIHODI I RASHODI-izvori'!H208+' PRIHODI I RASHODI-izvori'!H354+' PRIHODI I RASHODI-izvori'!H455</f>
        <v>3324.16</v>
      </c>
    </row>
    <row r="167" spans="1:7" x14ac:dyDescent="0.25">
      <c r="A167" s="511"/>
      <c r="B167" s="524">
        <v>3294</v>
      </c>
      <c r="C167" s="524" t="s">
        <v>149</v>
      </c>
      <c r="D167" s="525">
        <f>SUM(D168)</f>
        <v>2587.89</v>
      </c>
      <c r="E167" s="525">
        <f>SUM(E168)</f>
        <v>1990.84</v>
      </c>
      <c r="F167" s="525">
        <f>SUM(F168)</f>
        <v>1990.84</v>
      </c>
      <c r="G167" s="525">
        <f t="shared" ref="G167" si="40">SUM(G168)</f>
        <v>2224.8000000000002</v>
      </c>
    </row>
    <row r="168" spans="1:7" x14ac:dyDescent="0.25">
      <c r="A168" s="511"/>
      <c r="B168" s="523">
        <v>32941</v>
      </c>
      <c r="C168" s="523" t="s">
        <v>431</v>
      </c>
      <c r="D168" s="519">
        <f>' PRIHODI I RASHODI-izvori'!E80+' PRIHODI I RASHODI-izvori'!E210</f>
        <v>2587.89</v>
      </c>
      <c r="E168" s="519">
        <f>' PRIHODI I RASHODI-izvori'!F80+' PRIHODI I RASHODI-izvori'!F210</f>
        <v>1990.84</v>
      </c>
      <c r="F168" s="519">
        <f>' PRIHODI I RASHODI-izvori'!G80+' PRIHODI I RASHODI-izvori'!G210</f>
        <v>1990.84</v>
      </c>
      <c r="G168" s="519">
        <f>' PRIHODI I RASHODI-izvori'!H80+' PRIHODI I RASHODI-izvori'!H210</f>
        <v>2224.8000000000002</v>
      </c>
    </row>
    <row r="169" spans="1:7" x14ac:dyDescent="0.25">
      <c r="A169" s="511"/>
      <c r="B169" s="524">
        <v>3295</v>
      </c>
      <c r="C169" s="524" t="s">
        <v>150</v>
      </c>
      <c r="D169" s="525">
        <f>SUM(D170:D173)</f>
        <v>292.14</v>
      </c>
      <c r="E169" s="525">
        <f>SUM(E170:E173)</f>
        <v>2654.46</v>
      </c>
      <c r="F169" s="525">
        <f>SUM(F170:F173)</f>
        <v>2654.46</v>
      </c>
      <c r="G169" s="525">
        <f t="shared" ref="G169" si="41">SUM(G170:G173)</f>
        <v>339.42000000000007</v>
      </c>
    </row>
    <row r="170" spans="1:7" x14ac:dyDescent="0.25">
      <c r="A170" s="511"/>
      <c r="B170" s="523">
        <v>32952</v>
      </c>
      <c r="C170" s="523" t="s">
        <v>433</v>
      </c>
      <c r="D170" s="519">
        <f>' PRIHODI I RASHODI-izvori'!E212</f>
        <v>262.14</v>
      </c>
      <c r="E170" s="519">
        <f>' PRIHODI I RASHODI-izvori'!F212</f>
        <v>800</v>
      </c>
      <c r="F170" s="519">
        <f>' PRIHODI I RASHODI-izvori'!G212</f>
        <v>800</v>
      </c>
      <c r="G170" s="519">
        <f>' PRIHODI I RASHODI-izvori'!H212</f>
        <v>0</v>
      </c>
    </row>
    <row r="171" spans="1:7" x14ac:dyDescent="0.25">
      <c r="A171" s="511"/>
      <c r="B171" s="523">
        <v>32953</v>
      </c>
      <c r="C171" s="523" t="s">
        <v>434</v>
      </c>
      <c r="D171" s="519">
        <f>' PRIHODI I RASHODI-izvori'!E213</f>
        <v>30</v>
      </c>
      <c r="E171" s="519">
        <f>' PRIHODI I RASHODI-izvori'!F213</f>
        <v>1450</v>
      </c>
      <c r="F171" s="519">
        <f>' PRIHODI I RASHODI-izvori'!G213</f>
        <v>1450</v>
      </c>
      <c r="G171" s="519">
        <f>' PRIHODI I RASHODI-izvori'!H213</f>
        <v>78.75</v>
      </c>
    </row>
    <row r="172" spans="1:7" x14ac:dyDescent="0.25">
      <c r="A172" s="511"/>
      <c r="B172" s="523">
        <v>32955</v>
      </c>
      <c r="C172" s="523" t="s">
        <v>629</v>
      </c>
      <c r="D172" s="519">
        <f>' PRIHODI I RASHODI-izvori'!E214</f>
        <v>0</v>
      </c>
      <c r="E172" s="519">
        <f>' PRIHODI I RASHODI-izvori'!F214</f>
        <v>0</v>
      </c>
      <c r="F172" s="519">
        <f>' PRIHODI I RASHODI-izvori'!G214</f>
        <v>0</v>
      </c>
      <c r="G172" s="519">
        <f>' PRIHODI I RASHODI-izvori'!H214</f>
        <v>207.58</v>
      </c>
    </row>
    <row r="173" spans="1:7" x14ac:dyDescent="0.25">
      <c r="A173" s="511"/>
      <c r="B173" s="523">
        <v>32959</v>
      </c>
      <c r="C173" s="523" t="s">
        <v>432</v>
      </c>
      <c r="D173" s="519">
        <f>' PRIHODI I RASHODI-izvori'!E215</f>
        <v>0</v>
      </c>
      <c r="E173" s="519">
        <f>' PRIHODI I RASHODI-izvori'!F215</f>
        <v>404.46000000000004</v>
      </c>
      <c r="F173" s="519">
        <f>' PRIHODI I RASHODI-izvori'!G215</f>
        <v>404.46000000000004</v>
      </c>
      <c r="G173" s="519">
        <f>' PRIHODI I RASHODI-izvori'!H215</f>
        <v>53.09</v>
      </c>
    </row>
    <row r="174" spans="1:7" x14ac:dyDescent="0.25">
      <c r="A174" s="511"/>
      <c r="B174" s="524">
        <v>3296</v>
      </c>
      <c r="C174" s="524" t="s">
        <v>151</v>
      </c>
      <c r="D174" s="525">
        <f>SUM(D175)</f>
        <v>705</v>
      </c>
      <c r="E174" s="525">
        <f>SUM(E175)</f>
        <v>4990.84</v>
      </c>
      <c r="F174" s="525">
        <f>SUM(F175)</f>
        <v>4990.84</v>
      </c>
      <c r="G174" s="525">
        <f t="shared" ref="G174" si="42">SUM(G175)</f>
        <v>15</v>
      </c>
    </row>
    <row r="175" spans="1:7" x14ac:dyDescent="0.25">
      <c r="A175" s="511"/>
      <c r="B175" s="523">
        <v>32961</v>
      </c>
      <c r="C175" s="523" t="s">
        <v>151</v>
      </c>
      <c r="D175" s="519">
        <f>' PRIHODI I RASHODI-izvori'!E217</f>
        <v>705</v>
      </c>
      <c r="E175" s="519">
        <f>' PRIHODI I RASHODI-izvori'!F217</f>
        <v>4990.84</v>
      </c>
      <c r="F175" s="519">
        <f>' PRIHODI I RASHODI-izvori'!G217</f>
        <v>4990.84</v>
      </c>
      <c r="G175" s="519">
        <f>' PRIHODI I RASHODI-izvori'!H217</f>
        <v>15</v>
      </c>
    </row>
    <row r="176" spans="1:7" x14ac:dyDescent="0.25">
      <c r="A176" s="511"/>
      <c r="B176" s="524">
        <v>3299</v>
      </c>
      <c r="C176" s="524" t="s">
        <v>144</v>
      </c>
      <c r="D176" s="525">
        <f>SUM(D177:D178)</f>
        <v>5534.9000000000005</v>
      </c>
      <c r="E176" s="525">
        <f>SUM(E177:E178)</f>
        <v>5972.53</v>
      </c>
      <c r="F176" s="525">
        <f>SUM(F177:F178)</f>
        <v>5972.53</v>
      </c>
      <c r="G176" s="525">
        <f t="shared" ref="G176" si="43">SUM(G177:G178)</f>
        <v>5651.93</v>
      </c>
    </row>
    <row r="177" spans="1:7" x14ac:dyDescent="0.25">
      <c r="A177" s="511"/>
      <c r="B177" s="523">
        <v>32991</v>
      </c>
      <c r="C177" s="523" t="s">
        <v>435</v>
      </c>
      <c r="D177" s="519">
        <f>' PRIHODI I RASHODI-izvori'!E219</f>
        <v>50</v>
      </c>
      <c r="E177" s="519">
        <f>' PRIHODI I RASHODI-izvori'!F219</f>
        <v>200</v>
      </c>
      <c r="F177" s="519">
        <f>' PRIHODI I RASHODI-izvori'!G219</f>
        <v>200</v>
      </c>
      <c r="G177" s="519">
        <f>' PRIHODI I RASHODI-izvori'!H219</f>
        <v>100</v>
      </c>
    </row>
    <row r="178" spans="1:7" x14ac:dyDescent="0.25">
      <c r="A178" s="511"/>
      <c r="B178" s="523">
        <v>32999</v>
      </c>
      <c r="C178" s="523" t="s">
        <v>144</v>
      </c>
      <c r="D178" s="519">
        <f>' PRIHODI I RASHODI-izvori'!E82+' PRIHODI I RASHODI-izvori'!E220</f>
        <v>5484.9000000000005</v>
      </c>
      <c r="E178" s="519">
        <f>' PRIHODI I RASHODI-izvori'!F82+' PRIHODI I RASHODI-izvori'!F220</f>
        <v>5772.53</v>
      </c>
      <c r="F178" s="519">
        <f>' PRIHODI I RASHODI-izvori'!G82+' PRIHODI I RASHODI-izvori'!G220</f>
        <v>5772.53</v>
      </c>
      <c r="G178" s="519">
        <f>' PRIHODI I RASHODI-izvori'!H82+' PRIHODI I RASHODI-izvori'!H220</f>
        <v>5551.93</v>
      </c>
    </row>
    <row r="179" spans="1:7" x14ac:dyDescent="0.25">
      <c r="A179" s="511"/>
      <c r="B179" s="543">
        <v>34</v>
      </c>
      <c r="C179" s="543" t="s">
        <v>289</v>
      </c>
      <c r="D179" s="544">
        <f>D180</f>
        <v>5895.57</v>
      </c>
      <c r="E179" s="544">
        <f>E180</f>
        <v>9972.52</v>
      </c>
      <c r="F179" s="544">
        <f>F180</f>
        <v>9972.52</v>
      </c>
      <c r="G179" s="544">
        <f t="shared" ref="G179" si="44">G180</f>
        <v>6392.68</v>
      </c>
    </row>
    <row r="180" spans="1:7" x14ac:dyDescent="0.25">
      <c r="A180" s="511"/>
      <c r="B180" s="524">
        <v>343</v>
      </c>
      <c r="C180" s="524" t="s">
        <v>154</v>
      </c>
      <c r="D180" s="525">
        <f>D181+D183+D184+D189</f>
        <v>5895.57</v>
      </c>
      <c r="E180" s="525">
        <f>E181+E183+E184+E189</f>
        <v>9972.52</v>
      </c>
      <c r="F180" s="525">
        <f>F181+F183+F184+F189</f>
        <v>9972.52</v>
      </c>
      <c r="G180" s="525">
        <f>G181+G183+G184+G189</f>
        <v>6392.68</v>
      </c>
    </row>
    <row r="181" spans="1:7" x14ac:dyDescent="0.25">
      <c r="A181" s="511"/>
      <c r="B181" s="524">
        <v>3431</v>
      </c>
      <c r="C181" s="524" t="s">
        <v>290</v>
      </c>
      <c r="D181" s="525">
        <f>SUM(D182)</f>
        <v>4177.24</v>
      </c>
      <c r="E181" s="525">
        <f>SUM(E182)</f>
        <v>5308.91</v>
      </c>
      <c r="F181" s="525">
        <f>SUM(F182)</f>
        <v>5308.91</v>
      </c>
      <c r="G181" s="525">
        <f t="shared" ref="G181" si="45">SUM(G182)</f>
        <v>5960.89</v>
      </c>
    </row>
    <row r="182" spans="1:7" x14ac:dyDescent="0.25">
      <c r="A182" s="511"/>
      <c r="B182" s="523">
        <v>34312</v>
      </c>
      <c r="C182" s="523" t="s">
        <v>437</v>
      </c>
      <c r="D182" s="519">
        <f>' PRIHODI I RASHODI-izvori'!E224</f>
        <v>4177.24</v>
      </c>
      <c r="E182" s="519">
        <f>' PRIHODI I RASHODI-izvori'!F224</f>
        <v>5308.91</v>
      </c>
      <c r="F182" s="519">
        <f>' PRIHODI I RASHODI-izvori'!G224</f>
        <v>5308.91</v>
      </c>
      <c r="G182" s="519">
        <f>' PRIHODI I RASHODI-izvori'!H224</f>
        <v>5960.89</v>
      </c>
    </row>
    <row r="183" spans="1:7" x14ac:dyDescent="0.25">
      <c r="A183" s="511"/>
      <c r="B183" s="524">
        <v>3432</v>
      </c>
      <c r="C183" s="524" t="s">
        <v>205</v>
      </c>
      <c r="D183" s="519"/>
      <c r="E183" s="519"/>
      <c r="F183" s="519"/>
      <c r="G183" s="519"/>
    </row>
    <row r="184" spans="1:7" x14ac:dyDescent="0.25">
      <c r="A184" s="511"/>
      <c r="B184" s="524">
        <v>3433</v>
      </c>
      <c r="C184" s="524" t="s">
        <v>157</v>
      </c>
      <c r="D184" s="525">
        <f>SUM(D185:D188)</f>
        <v>1375.53</v>
      </c>
      <c r="E184" s="525">
        <f>SUM(E185:E188)</f>
        <v>4663.6099999999997</v>
      </c>
      <c r="F184" s="525">
        <f>SUM(F185:F188)</f>
        <v>4663.6099999999997</v>
      </c>
      <c r="G184" s="525">
        <f t="shared" ref="G184" si="46">SUM(G185:G188)</f>
        <v>431.79</v>
      </c>
    </row>
    <row r="185" spans="1:7" x14ac:dyDescent="0.25">
      <c r="A185" s="511"/>
      <c r="B185" s="523">
        <v>34331</v>
      </c>
      <c r="C185" s="523" t="s">
        <v>438</v>
      </c>
      <c r="D185" s="519">
        <f>' PRIHODI I RASHODI-izvori'!E226</f>
        <v>11.9</v>
      </c>
      <c r="E185" s="519">
        <f>' PRIHODI I RASHODI-izvori'!F226</f>
        <v>100</v>
      </c>
      <c r="F185" s="519">
        <f>' PRIHODI I RASHODI-izvori'!G226</f>
        <v>100</v>
      </c>
      <c r="G185" s="519">
        <f>' PRIHODI I RASHODI-izvori'!H226</f>
        <v>0</v>
      </c>
    </row>
    <row r="186" spans="1:7" x14ac:dyDescent="0.25">
      <c r="A186" s="511"/>
      <c r="B186" s="523">
        <v>34332</v>
      </c>
      <c r="C186" s="523" t="s">
        <v>439</v>
      </c>
      <c r="D186" s="519">
        <f>' PRIHODI I RASHODI-izvori'!E227</f>
        <v>315.98</v>
      </c>
      <c r="E186" s="519">
        <f>' PRIHODI I RASHODI-izvori'!F227</f>
        <v>550</v>
      </c>
      <c r="F186" s="519">
        <f>' PRIHODI I RASHODI-izvori'!G227</f>
        <v>550</v>
      </c>
      <c r="G186" s="519">
        <f>' PRIHODI I RASHODI-izvori'!H227</f>
        <v>0</v>
      </c>
    </row>
    <row r="187" spans="1:7" x14ac:dyDescent="0.25">
      <c r="A187" s="511"/>
      <c r="B187" s="523">
        <v>34333</v>
      </c>
      <c r="C187" s="523" t="s">
        <v>440</v>
      </c>
      <c r="D187" s="519">
        <f>' PRIHODI I RASHODI-izvori'!E228</f>
        <v>486.7</v>
      </c>
      <c r="E187" s="519">
        <f>' PRIHODI I RASHODI-izvori'!F228</f>
        <v>75</v>
      </c>
      <c r="F187" s="519">
        <f>' PRIHODI I RASHODI-izvori'!G228</f>
        <v>75</v>
      </c>
      <c r="G187" s="519">
        <f>' PRIHODI I RASHODI-izvori'!H228</f>
        <v>431.79</v>
      </c>
    </row>
    <row r="188" spans="1:7" x14ac:dyDescent="0.25">
      <c r="A188" s="511"/>
      <c r="B188" s="523">
        <v>34339</v>
      </c>
      <c r="C188" s="523" t="s">
        <v>441</v>
      </c>
      <c r="D188" s="519">
        <f>' PRIHODI I RASHODI-izvori'!E229</f>
        <v>560.95000000000005</v>
      </c>
      <c r="E188" s="519">
        <f>' PRIHODI I RASHODI-izvori'!F229</f>
        <v>3938.6099999999997</v>
      </c>
      <c r="F188" s="519">
        <f>' PRIHODI I RASHODI-izvori'!G229</f>
        <v>3938.6099999999997</v>
      </c>
      <c r="G188" s="519">
        <f>' PRIHODI I RASHODI-izvori'!H229</f>
        <v>0</v>
      </c>
    </row>
    <row r="189" spans="1:7" x14ac:dyDescent="0.25">
      <c r="A189" s="511"/>
      <c r="B189" s="524">
        <v>3434</v>
      </c>
      <c r="C189" s="524" t="s">
        <v>291</v>
      </c>
      <c r="D189" s="525">
        <f>D190</f>
        <v>342.8</v>
      </c>
      <c r="E189" s="525">
        <f>E190</f>
        <v>0</v>
      </c>
      <c r="F189" s="525">
        <f>F190</f>
        <v>0</v>
      </c>
      <c r="G189" s="525">
        <f>G190</f>
        <v>0</v>
      </c>
    </row>
    <row r="190" spans="1:7" x14ac:dyDescent="0.25">
      <c r="A190" s="511"/>
      <c r="B190" s="523">
        <v>34349</v>
      </c>
      <c r="C190" s="523" t="s">
        <v>291</v>
      </c>
      <c r="D190" s="519">
        <f>' PRIHODI I RASHODI-izvori'!E231</f>
        <v>342.8</v>
      </c>
      <c r="E190" s="519">
        <f>' PRIHODI I RASHODI-izvori'!F231</f>
        <v>0</v>
      </c>
      <c r="F190" s="519">
        <f>' PRIHODI I RASHODI-izvori'!G231</f>
        <v>0</v>
      </c>
      <c r="G190" s="519">
        <f>' PRIHODI I RASHODI-izvori'!H231</f>
        <v>0</v>
      </c>
    </row>
    <row r="191" spans="1:7" x14ac:dyDescent="0.25">
      <c r="A191" s="511"/>
      <c r="B191" s="543">
        <v>36</v>
      </c>
      <c r="C191" s="543" t="s">
        <v>292</v>
      </c>
      <c r="D191" s="544">
        <f>SUM(D192)</f>
        <v>0</v>
      </c>
      <c r="E191" s="544">
        <f>SUM(E192)</f>
        <v>0</v>
      </c>
      <c r="F191" s="544">
        <f>SUM(F192)</f>
        <v>0</v>
      </c>
      <c r="G191" s="544">
        <f t="shared" ref="G191" si="47">SUM(G192)</f>
        <v>0</v>
      </c>
    </row>
    <row r="192" spans="1:7" x14ac:dyDescent="0.25">
      <c r="A192" s="511"/>
      <c r="B192" s="524">
        <v>369</v>
      </c>
      <c r="C192" s="524" t="s">
        <v>38</v>
      </c>
      <c r="D192" s="525">
        <f>SUM(D193:D194)</f>
        <v>0</v>
      </c>
      <c r="E192" s="525">
        <f>SUM(E193:E194)</f>
        <v>0</v>
      </c>
      <c r="F192" s="525">
        <f>SUM(F193:F194)</f>
        <v>0</v>
      </c>
      <c r="G192" s="525">
        <f t="shared" ref="G192" si="48">SUM(G193:G194)</f>
        <v>0</v>
      </c>
    </row>
    <row r="193" spans="1:7" x14ac:dyDescent="0.25">
      <c r="A193" s="522"/>
      <c r="B193" s="524">
        <v>3691</v>
      </c>
      <c r="C193" s="524" t="s">
        <v>293</v>
      </c>
      <c r="D193" s="525"/>
      <c r="E193" s="525"/>
      <c r="F193" s="525"/>
      <c r="G193" s="525"/>
    </row>
    <row r="194" spans="1:7" x14ac:dyDescent="0.25">
      <c r="A194" s="511"/>
      <c r="B194" s="524">
        <v>3692</v>
      </c>
      <c r="C194" s="524" t="s">
        <v>294</v>
      </c>
      <c r="D194" s="525"/>
      <c r="E194" s="525"/>
      <c r="F194" s="525"/>
      <c r="G194" s="525"/>
    </row>
    <row r="195" spans="1:7" x14ac:dyDescent="0.25">
      <c r="A195" s="511"/>
      <c r="B195" s="543">
        <v>37</v>
      </c>
      <c r="C195" s="543" t="s">
        <v>162</v>
      </c>
      <c r="D195" s="544">
        <f t="shared" ref="D195:F196" si="49">D196</f>
        <v>9591.11</v>
      </c>
      <c r="E195" s="544">
        <f t="shared" si="49"/>
        <v>2000</v>
      </c>
      <c r="F195" s="544">
        <f t="shared" si="49"/>
        <v>2000</v>
      </c>
      <c r="G195" s="544">
        <f t="shared" ref="G195" si="50">SUM(G196)</f>
        <v>0</v>
      </c>
    </row>
    <row r="196" spans="1:7" x14ac:dyDescent="0.25">
      <c r="A196" s="511"/>
      <c r="B196" s="524">
        <v>372</v>
      </c>
      <c r="C196" s="524" t="s">
        <v>163</v>
      </c>
      <c r="D196" s="525">
        <f t="shared" si="49"/>
        <v>9591.11</v>
      </c>
      <c r="E196" s="525">
        <f t="shared" si="49"/>
        <v>2000</v>
      </c>
      <c r="F196" s="525">
        <f t="shared" si="49"/>
        <v>2000</v>
      </c>
      <c r="G196" s="525">
        <f t="shared" ref="G196" si="51">SUM(G199)</f>
        <v>0</v>
      </c>
    </row>
    <row r="197" spans="1:7" x14ac:dyDescent="0.25">
      <c r="A197" s="511"/>
      <c r="B197" s="524">
        <v>3721</v>
      </c>
      <c r="C197" s="524" t="s">
        <v>164</v>
      </c>
      <c r="D197" s="525">
        <f>SUM(D198:D199)</f>
        <v>9591.11</v>
      </c>
      <c r="E197" s="525">
        <f>SUM(E198:E199)</f>
        <v>2000</v>
      </c>
      <c r="F197" s="525">
        <f>SUM(F198:F199)</f>
        <v>2000</v>
      </c>
      <c r="G197" s="525">
        <f t="shared" ref="G197" si="52">SUM(G198:G199)</f>
        <v>0</v>
      </c>
    </row>
    <row r="198" spans="1:7" x14ac:dyDescent="0.25">
      <c r="A198" s="511"/>
      <c r="B198" s="523">
        <v>37212</v>
      </c>
      <c r="C198" s="523" t="s">
        <v>442</v>
      </c>
      <c r="D198" s="519">
        <f>' PRIHODI I RASHODI-izvori'!E239</f>
        <v>0</v>
      </c>
      <c r="E198" s="519">
        <f>' PRIHODI I RASHODI-izvori'!F239</f>
        <v>1500</v>
      </c>
      <c r="F198" s="519">
        <f>' PRIHODI I RASHODI-izvori'!G239</f>
        <v>1500</v>
      </c>
      <c r="G198" s="519">
        <f>' PRIHODI I RASHODI-izvori'!H239</f>
        <v>0</v>
      </c>
    </row>
    <row r="199" spans="1:7" x14ac:dyDescent="0.25">
      <c r="A199" s="511"/>
      <c r="B199" s="523">
        <v>37215</v>
      </c>
      <c r="C199" s="523" t="s">
        <v>443</v>
      </c>
      <c r="D199" s="519">
        <f>' PRIHODI I RASHODI-izvori'!E240</f>
        <v>9591.11</v>
      </c>
      <c r="E199" s="519">
        <f>' PRIHODI I RASHODI-izvori'!F240</f>
        <v>500</v>
      </c>
      <c r="F199" s="519">
        <f>' PRIHODI I RASHODI-izvori'!G240</f>
        <v>500</v>
      </c>
      <c r="G199" s="519">
        <f>' PRIHODI I RASHODI-izvori'!H240</f>
        <v>0</v>
      </c>
    </row>
    <row r="200" spans="1:7" x14ac:dyDescent="0.25">
      <c r="A200" s="511"/>
      <c r="B200" s="543">
        <v>38</v>
      </c>
      <c r="C200" s="543" t="s">
        <v>295</v>
      </c>
      <c r="D200" s="544">
        <f>SUM(D201,D203,D208)</f>
        <v>476.22</v>
      </c>
      <c r="E200" s="544">
        <f>SUM(E201,E203,E208)</f>
        <v>500</v>
      </c>
      <c r="F200" s="544">
        <f>SUM(F201,F203,F208)</f>
        <v>500</v>
      </c>
      <c r="G200" s="544">
        <f>SUM(G201,G203,G208)</f>
        <v>850.30000000000007</v>
      </c>
    </row>
    <row r="201" spans="1:7" x14ac:dyDescent="0.25">
      <c r="A201" s="511"/>
      <c r="B201" s="524">
        <v>381</v>
      </c>
      <c r="C201" s="524" t="s">
        <v>167</v>
      </c>
      <c r="D201" s="525">
        <f>SUM(D202)</f>
        <v>0</v>
      </c>
      <c r="E201" s="525">
        <f>SUM(E202)</f>
        <v>0</v>
      </c>
      <c r="F201" s="525">
        <f>SUM(F202)</f>
        <v>0</v>
      </c>
      <c r="G201" s="525">
        <f t="shared" ref="G201" si="53">SUM(G202)</f>
        <v>0</v>
      </c>
    </row>
    <row r="202" spans="1:7" x14ac:dyDescent="0.25">
      <c r="A202" s="511"/>
      <c r="B202" s="524">
        <v>3811</v>
      </c>
      <c r="C202" s="524" t="s">
        <v>167</v>
      </c>
      <c r="D202" s="519"/>
      <c r="E202" s="519"/>
      <c r="F202" s="519"/>
      <c r="G202" s="519"/>
    </row>
    <row r="203" spans="1:7" x14ac:dyDescent="0.25">
      <c r="A203" s="511"/>
      <c r="B203" s="524">
        <v>383</v>
      </c>
      <c r="C203" s="524" t="s">
        <v>169</v>
      </c>
      <c r="D203" s="525">
        <f>SUM(D204:D206)</f>
        <v>476.22</v>
      </c>
      <c r="E203" s="525">
        <f>SUM(E204:E206)</f>
        <v>500</v>
      </c>
      <c r="F203" s="525">
        <f>SUM(F204:F206)</f>
        <v>500</v>
      </c>
      <c r="G203" s="525">
        <f t="shared" ref="G203" si="54">SUM(G204:G206)</f>
        <v>694.07</v>
      </c>
    </row>
    <row r="204" spans="1:7" x14ac:dyDescent="0.25">
      <c r="A204" s="522"/>
      <c r="B204" s="524">
        <v>3831</v>
      </c>
      <c r="C204" s="524" t="s">
        <v>296</v>
      </c>
      <c r="D204" s="519"/>
      <c r="E204" s="519"/>
      <c r="F204" s="519"/>
      <c r="G204" s="519"/>
    </row>
    <row r="205" spans="1:7" x14ac:dyDescent="0.25">
      <c r="A205" s="511"/>
      <c r="B205" s="524">
        <v>3833</v>
      </c>
      <c r="C205" s="524" t="s">
        <v>297</v>
      </c>
      <c r="D205" s="519"/>
      <c r="E205" s="519"/>
      <c r="F205" s="519"/>
      <c r="G205" s="519"/>
    </row>
    <row r="206" spans="1:7" x14ac:dyDescent="0.25">
      <c r="A206" s="511"/>
      <c r="B206" s="524">
        <v>3834</v>
      </c>
      <c r="C206" s="524" t="s">
        <v>172</v>
      </c>
      <c r="D206" s="525">
        <f>SUM(D207)</f>
        <v>476.22</v>
      </c>
      <c r="E206" s="525">
        <f>SUM(E207)</f>
        <v>500</v>
      </c>
      <c r="F206" s="525">
        <f>SUM(F207)</f>
        <v>500</v>
      </c>
      <c r="G206" s="525">
        <f t="shared" ref="G206" si="55">SUM(G207)</f>
        <v>694.07</v>
      </c>
    </row>
    <row r="207" spans="1:7" x14ac:dyDescent="0.25">
      <c r="A207" s="511"/>
      <c r="B207" s="523">
        <v>38341</v>
      </c>
      <c r="C207" s="523" t="s">
        <v>172</v>
      </c>
      <c r="D207" s="519">
        <f>' PRIHODI I RASHODI-izvori'!E248</f>
        <v>476.22</v>
      </c>
      <c r="E207" s="519">
        <f>' PRIHODI I RASHODI-izvori'!F248</f>
        <v>500</v>
      </c>
      <c r="F207" s="519">
        <f>' PRIHODI I RASHODI-izvori'!G248</f>
        <v>500</v>
      </c>
      <c r="G207" s="519">
        <f>' PRIHODI I RASHODI-izvori'!H248</f>
        <v>694.07</v>
      </c>
    </row>
    <row r="208" spans="1:7" x14ac:dyDescent="0.25">
      <c r="A208" s="511"/>
      <c r="B208" s="524">
        <v>385</v>
      </c>
      <c r="C208" s="524" t="s">
        <v>169</v>
      </c>
      <c r="D208" s="525">
        <f>SUM(D211)</f>
        <v>0</v>
      </c>
      <c r="E208" s="525">
        <f>SUM(E211)</f>
        <v>0</v>
      </c>
      <c r="F208" s="525">
        <f>F209+F211</f>
        <v>0</v>
      </c>
      <c r="G208" s="525">
        <f>G209+G211</f>
        <v>156.22999999999999</v>
      </c>
    </row>
    <row r="209" spans="1:7" x14ac:dyDescent="0.25">
      <c r="A209" s="511"/>
      <c r="B209" s="524">
        <v>3851</v>
      </c>
      <c r="C209" s="524" t="s">
        <v>615</v>
      </c>
      <c r="D209" s="525"/>
      <c r="E209" s="525"/>
      <c r="F209" s="525">
        <f>F210</f>
        <v>0</v>
      </c>
      <c r="G209" s="525">
        <f>G210</f>
        <v>156.22999999999999</v>
      </c>
    </row>
    <row r="210" spans="1:7" x14ac:dyDescent="0.25">
      <c r="A210" s="511"/>
      <c r="B210" s="523">
        <v>38511</v>
      </c>
      <c r="C210" s="523" t="s">
        <v>616</v>
      </c>
      <c r="D210" s="525"/>
      <c r="E210" s="525"/>
      <c r="F210" s="525"/>
      <c r="G210" s="519">
        <f>' PRIHODI I RASHODI-izvori'!H252</f>
        <v>156.22999999999999</v>
      </c>
    </row>
    <row r="211" spans="1:7" x14ac:dyDescent="0.25">
      <c r="A211" s="511"/>
      <c r="B211" s="524">
        <v>3859</v>
      </c>
      <c r="C211" s="524" t="s">
        <v>298</v>
      </c>
      <c r="D211" s="519">
        <f>D212</f>
        <v>0</v>
      </c>
      <c r="E211" s="519">
        <f>E212</f>
        <v>0</v>
      </c>
      <c r="F211" s="519">
        <f>F212</f>
        <v>0</v>
      </c>
      <c r="G211" s="519">
        <f>G212</f>
        <v>0</v>
      </c>
    </row>
    <row r="212" spans="1:7" x14ac:dyDescent="0.25">
      <c r="A212" s="511"/>
      <c r="B212" s="523">
        <v>38591</v>
      </c>
      <c r="C212" s="523" t="s">
        <v>298</v>
      </c>
      <c r="D212" s="519">
        <f>' PRIHODI I RASHODI-izvori'!E254</f>
        <v>0</v>
      </c>
      <c r="E212" s="519">
        <f>' PRIHODI I RASHODI-izvori'!F254</f>
        <v>0</v>
      </c>
      <c r="F212" s="519">
        <f>' PRIHODI I RASHODI-izvori'!G254</f>
        <v>0</v>
      </c>
      <c r="G212" s="519">
        <f>' PRIHODI I RASHODI-izvori'!H254</f>
        <v>0</v>
      </c>
    </row>
    <row r="213" spans="1:7" x14ac:dyDescent="0.25">
      <c r="A213" s="508">
        <v>4</v>
      </c>
      <c r="B213" s="542"/>
      <c r="C213" s="542" t="s">
        <v>174</v>
      </c>
      <c r="D213" s="534">
        <f>D214+D219+D243</f>
        <v>846874.29</v>
      </c>
      <c r="E213" s="534">
        <f>E214+E219+E243</f>
        <v>426425.88</v>
      </c>
      <c r="F213" s="534">
        <f>F214+F219+F243</f>
        <v>425978.17000000004</v>
      </c>
      <c r="G213" s="534">
        <f t="shared" ref="G213" si="56">G214+G219+G243</f>
        <v>269800.90999999997</v>
      </c>
    </row>
    <row r="214" spans="1:7" x14ac:dyDescent="0.25">
      <c r="A214" s="511"/>
      <c r="B214" s="543">
        <v>41</v>
      </c>
      <c r="C214" s="543" t="s">
        <v>299</v>
      </c>
      <c r="D214" s="544">
        <f>SUM(D215,D217)</f>
        <v>0</v>
      </c>
      <c r="E214" s="544">
        <f>SUM(E215,E217)</f>
        <v>0</v>
      </c>
      <c r="F214" s="544">
        <f>SUM(F215,F217)</f>
        <v>0</v>
      </c>
      <c r="G214" s="544">
        <f t="shared" ref="G214" si="57">SUM(G215,G217)</f>
        <v>0</v>
      </c>
    </row>
    <row r="215" spans="1:7" x14ac:dyDescent="0.25">
      <c r="A215" s="511"/>
      <c r="B215" s="524">
        <v>411</v>
      </c>
      <c r="C215" s="524" t="s">
        <v>178</v>
      </c>
      <c r="D215" s="525">
        <f>SUM(D216)</f>
        <v>0</v>
      </c>
      <c r="E215" s="525">
        <f>SUM(E216)</f>
        <v>0</v>
      </c>
      <c r="F215" s="525">
        <f>SUM(F216)</f>
        <v>0</v>
      </c>
      <c r="G215" s="525">
        <f t="shared" ref="G215" si="58">SUM(G216)</f>
        <v>0</v>
      </c>
    </row>
    <row r="216" spans="1:7" x14ac:dyDescent="0.25">
      <c r="A216" s="511"/>
      <c r="B216" s="523">
        <v>41112</v>
      </c>
      <c r="C216" s="523" t="s">
        <v>180</v>
      </c>
      <c r="D216" s="519"/>
      <c r="E216" s="519"/>
      <c r="F216" s="519"/>
      <c r="G216" s="519"/>
    </row>
    <row r="217" spans="1:7" x14ac:dyDescent="0.25">
      <c r="A217" s="511"/>
      <c r="B217" s="524">
        <v>412</v>
      </c>
      <c r="C217" s="524" t="s">
        <v>181</v>
      </c>
      <c r="D217" s="525">
        <f>SUM(D218)</f>
        <v>0</v>
      </c>
      <c r="E217" s="525">
        <f>SUM(E218)</f>
        <v>0</v>
      </c>
      <c r="F217" s="525">
        <f>SUM(F218)</f>
        <v>0</v>
      </c>
      <c r="G217" s="525">
        <f t="shared" ref="G217" si="59">SUM(G218)</f>
        <v>0</v>
      </c>
    </row>
    <row r="218" spans="1:7" x14ac:dyDescent="0.25">
      <c r="A218" s="511"/>
      <c r="B218" s="524">
        <v>4123</v>
      </c>
      <c r="C218" s="524" t="s">
        <v>182</v>
      </c>
      <c r="D218" s="525"/>
      <c r="E218" s="525"/>
      <c r="F218" s="525"/>
      <c r="G218" s="525"/>
    </row>
    <row r="219" spans="1:7" x14ac:dyDescent="0.25">
      <c r="A219" s="511"/>
      <c r="B219" s="543">
        <v>42</v>
      </c>
      <c r="C219" s="543" t="s">
        <v>300</v>
      </c>
      <c r="D219" s="544">
        <f t="shared" ref="D219" si="60">D220+D222+D238</f>
        <v>686384.68</v>
      </c>
      <c r="E219" s="544">
        <f t="shared" ref="E219:G219" si="61">E220+E222+E238</f>
        <v>242964.4</v>
      </c>
      <c r="F219" s="544">
        <f t="shared" ref="F219" si="62">F220+F222+F238</f>
        <v>288823.19</v>
      </c>
      <c r="G219" s="544">
        <f t="shared" si="61"/>
        <v>184997.15999999997</v>
      </c>
    </row>
    <row r="220" spans="1:7" x14ac:dyDescent="0.25">
      <c r="A220" s="511"/>
      <c r="B220" s="524">
        <v>421</v>
      </c>
      <c r="C220" s="524" t="s">
        <v>207</v>
      </c>
      <c r="D220" s="525">
        <f>SUM(D221)</f>
        <v>0</v>
      </c>
      <c r="E220" s="525">
        <f>SUM(E221)</f>
        <v>0</v>
      </c>
      <c r="F220" s="525">
        <f>SUM(F221)</f>
        <v>0</v>
      </c>
      <c r="G220" s="525">
        <f t="shared" ref="G220" si="63">SUM(G221)</f>
        <v>0</v>
      </c>
    </row>
    <row r="221" spans="1:7" x14ac:dyDescent="0.25">
      <c r="A221" s="511"/>
      <c r="B221" s="524">
        <v>4212</v>
      </c>
      <c r="C221" s="524" t="s">
        <v>209</v>
      </c>
      <c r="D221" s="525"/>
      <c r="E221" s="525"/>
      <c r="F221" s="525"/>
      <c r="G221" s="525"/>
    </row>
    <row r="222" spans="1:7" x14ac:dyDescent="0.25">
      <c r="A222" s="511"/>
      <c r="B222" s="524">
        <v>422</v>
      </c>
      <c r="C222" s="524" t="s">
        <v>184</v>
      </c>
      <c r="D222" s="525">
        <f t="shared" ref="D222" si="64">D223+D227+D228+D231+D234+D236</f>
        <v>686384.68</v>
      </c>
      <c r="E222" s="525">
        <f t="shared" ref="E222:G222" si="65">E223+E227+E228+E231+E234+E236</f>
        <v>236242.12</v>
      </c>
      <c r="F222" s="525">
        <f t="shared" ref="F222" si="66">F223+F227+F228+F231+F234+F236</f>
        <v>282100.90999999997</v>
      </c>
      <c r="G222" s="525">
        <f t="shared" si="65"/>
        <v>184997.15999999997</v>
      </c>
    </row>
    <row r="223" spans="1:7" x14ac:dyDescent="0.25">
      <c r="A223" s="511"/>
      <c r="B223" s="524">
        <v>4221</v>
      </c>
      <c r="C223" s="524" t="s">
        <v>186</v>
      </c>
      <c r="D223" s="525">
        <f t="shared" ref="D223:E223" si="67">SUM(D224:D226)</f>
        <v>950.63</v>
      </c>
      <c r="E223" s="525">
        <f t="shared" si="67"/>
        <v>40617.659999999996</v>
      </c>
      <c r="F223" s="525">
        <f t="shared" ref="F223" si="68">SUM(F224:F226)</f>
        <v>13587.28</v>
      </c>
      <c r="G223" s="525">
        <f>SUM(G224:G226)</f>
        <v>714.98</v>
      </c>
    </row>
    <row r="224" spans="1:7" x14ac:dyDescent="0.25">
      <c r="A224" s="511"/>
      <c r="B224" s="523">
        <v>42211</v>
      </c>
      <c r="C224" s="523" t="s">
        <v>444</v>
      </c>
      <c r="D224" s="519">
        <f>' PRIHODI I RASHODI-izvori'!E87+' PRIHODI I RASHODI-izvori'!E264</f>
        <v>370.63</v>
      </c>
      <c r="E224" s="519">
        <f>' PRIHODI I RASHODI-izvori'!F87+' PRIHODI I RASHODI-izvori'!F264</f>
        <v>7115.38</v>
      </c>
      <c r="F224" s="519">
        <f>' PRIHODI I RASHODI-izvori'!G87+' PRIHODI I RASHODI-izvori'!G264</f>
        <v>1250</v>
      </c>
      <c r="G224" s="519">
        <f>' PRIHODI I RASHODI-izvori'!H87+' PRIHODI I RASHODI-izvori'!H264</f>
        <v>240</v>
      </c>
    </row>
    <row r="225" spans="1:7" x14ac:dyDescent="0.25">
      <c r="A225" s="511"/>
      <c r="B225" s="523">
        <v>42212</v>
      </c>
      <c r="C225" s="523" t="s">
        <v>445</v>
      </c>
      <c r="D225" s="519">
        <f>' PRIHODI I RASHODI-izvori'!E88+' PRIHODI I RASHODI-izvori'!E265+' PRIHODI I RASHODI-izvori'!E383</f>
        <v>580</v>
      </c>
      <c r="E225" s="519">
        <f>' PRIHODI I RASHODI-izvori'!F88+' PRIHODI I RASHODI-izvori'!F265+' PRIHODI I RASHODI-izvori'!F383</f>
        <v>32152.28</v>
      </c>
      <c r="F225" s="519">
        <f>' PRIHODI I RASHODI-izvori'!G88+' PRIHODI I RASHODI-izvori'!G265+' PRIHODI I RASHODI-izvori'!G383</f>
        <v>10987.28</v>
      </c>
      <c r="G225" s="519">
        <f>' PRIHODI I RASHODI-izvori'!H88+' PRIHODI I RASHODI-izvori'!H265+' PRIHODI I RASHODI-izvori'!H383</f>
        <v>474.98</v>
      </c>
    </row>
    <row r="226" spans="1:7" x14ac:dyDescent="0.25">
      <c r="A226" s="511"/>
      <c r="B226" s="523">
        <v>42219</v>
      </c>
      <c r="C226" s="523" t="s">
        <v>446</v>
      </c>
      <c r="D226" s="519">
        <f>' PRIHODI I RASHODI-izvori'!E266</f>
        <v>0</v>
      </c>
      <c r="E226" s="519">
        <f>' PRIHODI I RASHODI-izvori'!F266</f>
        <v>1350</v>
      </c>
      <c r="F226" s="519">
        <f>' PRIHODI I RASHODI-izvori'!G266</f>
        <v>1350</v>
      </c>
      <c r="G226" s="519">
        <f>' PRIHODI I RASHODI-izvori'!H266</f>
        <v>0</v>
      </c>
    </row>
    <row r="227" spans="1:7" x14ac:dyDescent="0.25">
      <c r="A227" s="511"/>
      <c r="B227" s="524">
        <v>4222</v>
      </c>
      <c r="C227" s="524" t="s">
        <v>188</v>
      </c>
      <c r="D227" s="525"/>
      <c r="E227" s="525"/>
      <c r="F227" s="525"/>
      <c r="G227" s="525"/>
    </row>
    <row r="228" spans="1:7" x14ac:dyDescent="0.25">
      <c r="A228" s="511"/>
      <c r="B228" s="524">
        <v>4223</v>
      </c>
      <c r="C228" s="524" t="s">
        <v>301</v>
      </c>
      <c r="D228" s="525">
        <f t="shared" ref="D228" si="69">SUM(D229:D230)</f>
        <v>3832.41</v>
      </c>
      <c r="E228" s="525">
        <f t="shared" ref="E228:G228" si="70">SUM(E229:E230)</f>
        <v>20790.28</v>
      </c>
      <c r="F228" s="525">
        <f t="shared" ref="F228" si="71">SUM(F229:F230)</f>
        <v>16089.01</v>
      </c>
      <c r="G228" s="525">
        <f t="shared" si="70"/>
        <v>2816.73</v>
      </c>
    </row>
    <row r="229" spans="1:7" x14ac:dyDescent="0.25">
      <c r="A229" s="511"/>
      <c r="B229" s="523">
        <v>42231</v>
      </c>
      <c r="C229" s="523" t="s">
        <v>448</v>
      </c>
      <c r="D229" s="519">
        <f>' PRIHODI I RASHODI-izvori'!E90+' PRIHODI I RASHODI-izvori'!E269+' PRIHODI I RASHODI-izvori'!E386</f>
        <v>3832.41</v>
      </c>
      <c r="E229" s="519">
        <f>' PRIHODI I RASHODI-izvori'!F90+' PRIHODI I RASHODI-izvori'!F269+' PRIHODI I RASHODI-izvori'!F386</f>
        <v>20440.28</v>
      </c>
      <c r="F229" s="519">
        <f>' PRIHODI I RASHODI-izvori'!G90+' PRIHODI I RASHODI-izvori'!G269+' PRIHODI I RASHODI-izvori'!G386</f>
        <v>15739.01</v>
      </c>
      <c r="G229" s="519">
        <f>' PRIHODI I RASHODI-izvori'!H90+' PRIHODI I RASHODI-izvori'!H269+' PRIHODI I RASHODI-izvori'!H386</f>
        <v>2816.73</v>
      </c>
    </row>
    <row r="230" spans="1:7" x14ac:dyDescent="0.25">
      <c r="A230" s="511"/>
      <c r="B230" s="523">
        <v>42232</v>
      </c>
      <c r="C230" s="523" t="s">
        <v>447</v>
      </c>
      <c r="D230" s="519">
        <f>' PRIHODI I RASHODI-izvori'!E270</f>
        <v>0</v>
      </c>
      <c r="E230" s="519">
        <f>' PRIHODI I RASHODI-izvori'!F270</f>
        <v>350</v>
      </c>
      <c r="F230" s="519">
        <f>' PRIHODI I RASHODI-izvori'!G270</f>
        <v>350</v>
      </c>
      <c r="G230" s="519">
        <f>' PRIHODI I RASHODI-izvori'!H270</f>
        <v>0</v>
      </c>
    </row>
    <row r="231" spans="1:7" x14ac:dyDescent="0.25">
      <c r="A231" s="511"/>
      <c r="B231" s="524">
        <v>4224</v>
      </c>
      <c r="C231" s="524" t="s">
        <v>190</v>
      </c>
      <c r="D231" s="525">
        <f>SUM(D232:D233)</f>
        <v>630296.25</v>
      </c>
      <c r="E231" s="525">
        <f>SUM(E232:E233)</f>
        <v>127591.1</v>
      </c>
      <c r="F231" s="525">
        <f>SUM(F232:F233)</f>
        <v>211243.37</v>
      </c>
      <c r="G231" s="525">
        <f t="shared" ref="G231" si="72">SUM(G232:G233)</f>
        <v>147422.43</v>
      </c>
    </row>
    <row r="232" spans="1:7" x14ac:dyDescent="0.25">
      <c r="A232" s="511"/>
      <c r="B232" s="523">
        <v>42241</v>
      </c>
      <c r="C232" s="523" t="s">
        <v>449</v>
      </c>
      <c r="D232" s="519">
        <f>' PRIHODI I RASHODI-izvori'!E92+' PRIHODI I RASHODI-izvori'!E272+' PRIHODI I RASHODI-izvori'!E464+' PRIHODI I RASHODI-izvori'!E535</f>
        <v>630296.25</v>
      </c>
      <c r="E232" s="519">
        <f>' PRIHODI I RASHODI-izvori'!F92+' PRIHODI I RASHODI-izvori'!F272+' PRIHODI I RASHODI-izvori'!F535</f>
        <v>125341.1</v>
      </c>
      <c r="F232" s="519">
        <f>' PRIHODI I RASHODI-izvori'!G92+' PRIHODI I RASHODI-izvori'!G272+' PRIHODI I RASHODI-izvori'!G535</f>
        <v>208993.37</v>
      </c>
      <c r="G232" s="519">
        <f>' PRIHODI I RASHODI-izvori'!H92+' PRIHODI I RASHODI-izvori'!H272+' PRIHODI I RASHODI-izvori'!H535+' PRIHODI I RASHODI-izvori'!H464</f>
        <v>147422.43</v>
      </c>
    </row>
    <row r="233" spans="1:7" x14ac:dyDescent="0.25">
      <c r="A233" s="511"/>
      <c r="B233" s="523">
        <v>42242</v>
      </c>
      <c r="C233" s="523" t="s">
        <v>450</v>
      </c>
      <c r="D233" s="519">
        <f>' PRIHODI I RASHODI-izvori'!E273</f>
        <v>0</v>
      </c>
      <c r="E233" s="519">
        <f>' PRIHODI I RASHODI-izvori'!F273</f>
        <v>2250</v>
      </c>
      <c r="F233" s="519">
        <f>' PRIHODI I RASHODI-izvori'!G273</f>
        <v>2250</v>
      </c>
      <c r="G233" s="519">
        <f>' PRIHODI I RASHODI-izvori'!H273</f>
        <v>0</v>
      </c>
    </row>
    <row r="234" spans="1:7" x14ac:dyDescent="0.25">
      <c r="A234" s="511"/>
      <c r="B234" s="524">
        <v>4225</v>
      </c>
      <c r="C234" s="524" t="s">
        <v>191</v>
      </c>
      <c r="D234" s="525">
        <f>SUM(D235)</f>
        <v>43912.5</v>
      </c>
      <c r="E234" s="525">
        <f>SUM(E235)</f>
        <v>43261.4</v>
      </c>
      <c r="F234" s="525">
        <f>SUM(F235)</f>
        <v>37199.57</v>
      </c>
      <c r="G234" s="525">
        <f t="shared" ref="G234" si="73">SUM(G235)</f>
        <v>32295</v>
      </c>
    </row>
    <row r="235" spans="1:7" x14ac:dyDescent="0.25">
      <c r="A235" s="511"/>
      <c r="B235" s="523">
        <v>42259</v>
      </c>
      <c r="C235" s="523" t="s">
        <v>619</v>
      </c>
      <c r="D235" s="519">
        <f>' PRIHODI I RASHODI-izvori'!E94+' PRIHODI I RASHODI-izvori'!E275</f>
        <v>43912.5</v>
      </c>
      <c r="E235" s="519">
        <f>' PRIHODI I RASHODI-izvori'!F94+' PRIHODI I RASHODI-izvori'!F275</f>
        <v>43261.4</v>
      </c>
      <c r="F235" s="519">
        <f>' PRIHODI I RASHODI-izvori'!G94+' PRIHODI I RASHODI-izvori'!G275</f>
        <v>37199.57</v>
      </c>
      <c r="G235" s="519">
        <f>' PRIHODI I RASHODI-izvori'!H94+' PRIHODI I RASHODI-izvori'!H275</f>
        <v>32295</v>
      </c>
    </row>
    <row r="236" spans="1:7" x14ac:dyDescent="0.25">
      <c r="A236" s="511"/>
      <c r="B236" s="524">
        <v>4227</v>
      </c>
      <c r="C236" s="524" t="s">
        <v>192</v>
      </c>
      <c r="D236" s="525">
        <f>D237</f>
        <v>7392.89</v>
      </c>
      <c r="E236" s="525">
        <f>E237</f>
        <v>3981.68</v>
      </c>
      <c r="F236" s="525">
        <f>F237</f>
        <v>3981.68</v>
      </c>
      <c r="G236" s="525">
        <f t="shared" ref="G236" si="74">G237</f>
        <v>1748.02</v>
      </c>
    </row>
    <row r="237" spans="1:7" x14ac:dyDescent="0.25">
      <c r="A237" s="511"/>
      <c r="B237" s="523">
        <v>42273</v>
      </c>
      <c r="C237" s="523" t="s">
        <v>192</v>
      </c>
      <c r="D237" s="519">
        <f>' PRIHODI I RASHODI-izvori'!E277+' PRIHODI I RASHODI-izvori'!E390+' PRIHODI I RASHODI-izvori'!E466</f>
        <v>7392.89</v>
      </c>
      <c r="E237" s="519">
        <f>' PRIHODI I RASHODI-izvori'!F277+' PRIHODI I RASHODI-izvori'!F390+' PRIHODI I RASHODI-izvori'!F466</f>
        <v>3981.68</v>
      </c>
      <c r="F237" s="519">
        <f>' PRIHODI I RASHODI-izvori'!G277+' PRIHODI I RASHODI-izvori'!G390+' PRIHODI I RASHODI-izvori'!G466</f>
        <v>3981.68</v>
      </c>
      <c r="G237" s="519">
        <f>' PRIHODI I RASHODI-izvori'!H277+' PRIHODI I RASHODI-izvori'!H390+' PRIHODI I RASHODI-izvori'!H466</f>
        <v>1748.02</v>
      </c>
    </row>
    <row r="238" spans="1:7" x14ac:dyDescent="0.25">
      <c r="A238" s="511"/>
      <c r="B238" s="524">
        <v>423</v>
      </c>
      <c r="C238" s="524" t="s">
        <v>193</v>
      </c>
      <c r="D238" s="525">
        <f>D239</f>
        <v>0</v>
      </c>
      <c r="E238" s="525">
        <f>E239</f>
        <v>6722.28</v>
      </c>
      <c r="F238" s="525">
        <f>F239</f>
        <v>6722.28</v>
      </c>
      <c r="G238" s="525">
        <f t="shared" ref="G238" si="75">G239</f>
        <v>0</v>
      </c>
    </row>
    <row r="239" spans="1:7" x14ac:dyDescent="0.25">
      <c r="A239" s="511"/>
      <c r="B239" s="524">
        <v>4231</v>
      </c>
      <c r="C239" s="524" t="s">
        <v>193</v>
      </c>
      <c r="D239" s="525">
        <f>SUM(D240)</f>
        <v>0</v>
      </c>
      <c r="E239" s="525">
        <f>SUM(E240)</f>
        <v>6722.28</v>
      </c>
      <c r="F239" s="525">
        <f>SUM(F240)</f>
        <v>6722.28</v>
      </c>
      <c r="G239" s="525">
        <f t="shared" ref="G239" si="76">SUM(G240)</f>
        <v>0</v>
      </c>
    </row>
    <row r="240" spans="1:7" x14ac:dyDescent="0.25">
      <c r="A240" s="511"/>
      <c r="B240" s="523">
        <v>42311</v>
      </c>
      <c r="C240" s="523" t="s">
        <v>451</v>
      </c>
      <c r="D240" s="519">
        <f>' PRIHODI I RASHODI-izvori'!E280</f>
        <v>0</v>
      </c>
      <c r="E240" s="519">
        <f>' PRIHODI I RASHODI-izvori'!F280</f>
        <v>6722.28</v>
      </c>
      <c r="F240" s="519">
        <f>' PRIHODI I RASHODI-izvori'!G280</f>
        <v>6722.28</v>
      </c>
      <c r="G240" s="519">
        <f>' PRIHODI I RASHODI-izvori'!H280</f>
        <v>0</v>
      </c>
    </row>
    <row r="241" spans="1:7" s="439" customFormat="1" x14ac:dyDescent="0.25">
      <c r="A241" s="511"/>
      <c r="B241" s="524">
        <v>426</v>
      </c>
      <c r="C241" s="524" t="s">
        <v>302</v>
      </c>
      <c r="D241" s="525">
        <f>D242</f>
        <v>0</v>
      </c>
      <c r="E241" s="525">
        <f>E242</f>
        <v>0</v>
      </c>
      <c r="F241" s="525">
        <f>F242</f>
        <v>0</v>
      </c>
      <c r="G241" s="525">
        <f t="shared" ref="G241" si="77">G242</f>
        <v>0</v>
      </c>
    </row>
    <row r="242" spans="1:7" x14ac:dyDescent="0.25">
      <c r="A242" s="511"/>
      <c r="B242" s="524">
        <v>4262</v>
      </c>
      <c r="C242" s="524" t="s">
        <v>195</v>
      </c>
      <c r="D242" s="525"/>
      <c r="E242" s="525"/>
      <c r="F242" s="525"/>
      <c r="G242" s="525"/>
    </row>
    <row r="243" spans="1:7" x14ac:dyDescent="0.25">
      <c r="A243" s="511"/>
      <c r="B243" s="543">
        <v>45</v>
      </c>
      <c r="C243" s="543" t="s">
        <v>199</v>
      </c>
      <c r="D243" s="544">
        <f>SUM(D244,D247)</f>
        <v>160489.60999999999</v>
      </c>
      <c r="E243" s="544">
        <f>SUM(E244,E247)</f>
        <v>183461.48</v>
      </c>
      <c r="F243" s="544">
        <f>SUM(F244,F247)</f>
        <v>137154.98000000001</v>
      </c>
      <c r="G243" s="544">
        <f t="shared" ref="G243" si="78">SUM(G244,G247)</f>
        <v>84803.75</v>
      </c>
    </row>
    <row r="244" spans="1:7" x14ac:dyDescent="0.25">
      <c r="A244" s="511"/>
      <c r="B244" s="524">
        <v>451</v>
      </c>
      <c r="C244" s="524" t="s">
        <v>207</v>
      </c>
      <c r="D244" s="525">
        <f t="shared" ref="D244:F245" si="79">SUM(D245)</f>
        <v>160489.60999999999</v>
      </c>
      <c r="E244" s="525">
        <f t="shared" si="79"/>
        <v>183461.48</v>
      </c>
      <c r="F244" s="525">
        <f t="shared" si="79"/>
        <v>137154.98000000001</v>
      </c>
      <c r="G244" s="525">
        <f t="shared" ref="G244:G245" si="80">SUM(G245)</f>
        <v>84803.75</v>
      </c>
    </row>
    <row r="245" spans="1:7" x14ac:dyDescent="0.25">
      <c r="A245" s="511"/>
      <c r="B245" s="524">
        <v>4511</v>
      </c>
      <c r="C245" s="524" t="s">
        <v>199</v>
      </c>
      <c r="D245" s="525">
        <f t="shared" si="79"/>
        <v>160489.60999999999</v>
      </c>
      <c r="E245" s="525">
        <f t="shared" si="79"/>
        <v>183461.48</v>
      </c>
      <c r="F245" s="525">
        <f t="shared" si="79"/>
        <v>137154.98000000001</v>
      </c>
      <c r="G245" s="525">
        <f t="shared" si="80"/>
        <v>84803.75</v>
      </c>
    </row>
    <row r="246" spans="1:7" x14ac:dyDescent="0.25">
      <c r="A246" s="511"/>
      <c r="B246" s="523">
        <v>45111</v>
      </c>
      <c r="C246" s="523" t="s">
        <v>199</v>
      </c>
      <c r="D246" s="519">
        <f>' PRIHODI I RASHODI-izvori'!E98+' PRIHODI I RASHODI-izvori'!E286+' PRIHODI I RASHODI-izvori'!E516</f>
        <v>160489.60999999999</v>
      </c>
      <c r="E246" s="519">
        <f>' PRIHODI I RASHODI-izvori'!F98+' PRIHODI I RASHODI-izvori'!F286+' PRIHODI I RASHODI-izvori'!F516</f>
        <v>183461.48</v>
      </c>
      <c r="F246" s="519">
        <f>' PRIHODI I RASHODI-izvori'!G98+' PRIHODI I RASHODI-izvori'!G286+' PRIHODI I RASHODI-izvori'!G516</f>
        <v>137154.98000000001</v>
      </c>
      <c r="G246" s="519">
        <f>' PRIHODI I RASHODI-izvori'!H98+' PRIHODI I RASHODI-izvori'!H286+' PRIHODI I RASHODI-izvori'!H541</f>
        <v>84803.75</v>
      </c>
    </row>
    <row r="247" spans="1:7" s="439" customFormat="1" x14ac:dyDescent="0.25">
      <c r="A247" s="549"/>
      <c r="B247" s="524">
        <v>452</v>
      </c>
      <c r="C247" s="524" t="s">
        <v>202</v>
      </c>
      <c r="D247" s="525">
        <f>D248</f>
        <v>0</v>
      </c>
      <c r="E247" s="525">
        <f>E248</f>
        <v>0</v>
      </c>
      <c r="F247" s="525">
        <f>F248</f>
        <v>0</v>
      </c>
      <c r="G247" s="525">
        <f t="shared" ref="G247" si="81">G248</f>
        <v>0</v>
      </c>
    </row>
    <row r="248" spans="1:7" x14ac:dyDescent="0.25">
      <c r="A248" s="549"/>
      <c r="B248" s="550">
        <v>4521</v>
      </c>
      <c r="C248" s="550" t="s">
        <v>202</v>
      </c>
      <c r="D248" s="551"/>
      <c r="E248" s="551"/>
      <c r="F248" s="551"/>
      <c r="G248" s="551"/>
    </row>
    <row r="249" spans="1:7" x14ac:dyDescent="0.25">
      <c r="A249" s="801" t="s">
        <v>303</v>
      </c>
      <c r="B249" s="802"/>
      <c r="C249" s="803"/>
      <c r="D249" s="537">
        <f>D57+D213</f>
        <v>5931700.1705000009</v>
      </c>
      <c r="E249" s="537">
        <f>E57+E213</f>
        <v>4725934.5699999994</v>
      </c>
      <c r="F249" s="537">
        <f>F57+F213</f>
        <v>4763941.6499999994</v>
      </c>
      <c r="G249" s="537">
        <f>G57+G213</f>
        <v>5188831.55</v>
      </c>
    </row>
    <row r="251" spans="1:7" x14ac:dyDescent="0.25">
      <c r="E251" s="552"/>
      <c r="F251" s="552"/>
      <c r="G251" s="552"/>
    </row>
  </sheetData>
  <mergeCells count="10">
    <mergeCell ref="A51:C51"/>
    <mergeCell ref="A54:G54"/>
    <mergeCell ref="A56:C56"/>
    <mergeCell ref="A249:C249"/>
    <mergeCell ref="A1:G1"/>
    <mergeCell ref="A2:G3"/>
    <mergeCell ref="A4:G4"/>
    <mergeCell ref="B5:G5"/>
    <mergeCell ref="A7:G7"/>
    <mergeCell ref="A9:C9"/>
  </mergeCells>
  <pageMargins left="0.7" right="0.7" top="0.75" bottom="0.75" header="0.3" footer="0.3"/>
  <pageSetup paperSize="9" scale="5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356"/>
  <sheetViews>
    <sheetView workbookViewId="0">
      <selection activeCell="E4" sqref="E1:F1048576"/>
    </sheetView>
  </sheetViews>
  <sheetFormatPr defaultRowHeight="15" x14ac:dyDescent="0.25"/>
  <cols>
    <col min="1" max="1" width="7.140625" style="58" bestFit="1" customWidth="1"/>
    <col min="2" max="2" width="10" style="58" customWidth="1"/>
    <col min="3" max="3" width="5.42578125" style="58" bestFit="1" customWidth="1"/>
    <col min="4" max="4" width="62.140625" style="58" bestFit="1" customWidth="1"/>
    <col min="5" max="5" width="24.42578125" style="58" customWidth="1"/>
    <col min="6" max="6" width="16.28515625" style="219" customWidth="1"/>
    <col min="7" max="7" width="16.85546875" style="219" bestFit="1" customWidth="1"/>
    <col min="8" max="8" width="21.28515625" style="58" bestFit="1" customWidth="1"/>
    <col min="9" max="9" width="11.28515625" style="403" bestFit="1" customWidth="1"/>
    <col min="10" max="10" width="9" style="403" bestFit="1" customWidth="1"/>
    <col min="11" max="14" width="15.140625" style="58" customWidth="1"/>
    <col min="15" max="15" width="16.7109375" style="58" hidden="1" customWidth="1"/>
    <col min="16" max="16" width="16.42578125" style="58" hidden="1" customWidth="1"/>
    <col min="17" max="17" width="12.5703125" style="58" hidden="1" customWidth="1"/>
    <col min="18" max="19" width="10.7109375" style="58" bestFit="1" customWidth="1"/>
    <col min="20" max="20" width="10.28515625" style="58" bestFit="1" customWidth="1"/>
    <col min="21" max="21" width="11.85546875" style="58" bestFit="1" customWidth="1"/>
    <col min="22" max="22" width="15.42578125" style="58" customWidth="1"/>
    <col min="23" max="258" width="9.140625" style="58"/>
    <col min="259" max="259" width="7" style="58" bestFit="1" customWidth="1"/>
    <col min="260" max="260" width="10" style="58" customWidth="1"/>
    <col min="261" max="261" width="5.28515625" style="58" bestFit="1" customWidth="1"/>
    <col min="262" max="262" width="55" style="58" customWidth="1"/>
    <col min="263" max="263" width="17" style="58" bestFit="1" customWidth="1"/>
    <col min="264" max="264" width="19.140625" style="58" customWidth="1"/>
    <col min="265" max="265" width="19.42578125" style="58" customWidth="1"/>
    <col min="266" max="270" width="15.140625" style="58" customWidth="1"/>
    <col min="271" max="273" width="0" style="58" hidden="1" customWidth="1"/>
    <col min="274" max="275" width="10.7109375" style="58" bestFit="1" customWidth="1"/>
    <col min="276" max="276" width="10.28515625" style="58" bestFit="1" customWidth="1"/>
    <col min="277" max="277" width="11.85546875" style="58" bestFit="1" customWidth="1"/>
    <col min="278" max="278" width="15.42578125" style="58" customWidth="1"/>
    <col min="279" max="514" width="9.140625" style="58"/>
    <col min="515" max="515" width="7" style="58" bestFit="1" customWidth="1"/>
    <col min="516" max="516" width="10" style="58" customWidth="1"/>
    <col min="517" max="517" width="5.28515625" style="58" bestFit="1" customWidth="1"/>
    <col min="518" max="518" width="55" style="58" customWidth="1"/>
    <col min="519" max="519" width="17" style="58" bestFit="1" customWidth="1"/>
    <col min="520" max="520" width="19.140625" style="58" customWidth="1"/>
    <col min="521" max="521" width="19.42578125" style="58" customWidth="1"/>
    <col min="522" max="526" width="15.140625" style="58" customWidth="1"/>
    <col min="527" max="529" width="0" style="58" hidden="1" customWidth="1"/>
    <col min="530" max="531" width="10.7109375" style="58" bestFit="1" customWidth="1"/>
    <col min="532" max="532" width="10.28515625" style="58" bestFit="1" customWidth="1"/>
    <col min="533" max="533" width="11.85546875" style="58" bestFit="1" customWidth="1"/>
    <col min="534" max="534" width="15.42578125" style="58" customWidth="1"/>
    <col min="535" max="770" width="9.140625" style="58"/>
    <col min="771" max="771" width="7" style="58" bestFit="1" customWidth="1"/>
    <col min="772" max="772" width="10" style="58" customWidth="1"/>
    <col min="773" max="773" width="5.28515625" style="58" bestFit="1" customWidth="1"/>
    <col min="774" max="774" width="55" style="58" customWidth="1"/>
    <col min="775" max="775" width="17" style="58" bestFit="1" customWidth="1"/>
    <col min="776" max="776" width="19.140625" style="58" customWidth="1"/>
    <col min="777" max="777" width="19.42578125" style="58" customWidth="1"/>
    <col min="778" max="782" width="15.140625" style="58" customWidth="1"/>
    <col min="783" max="785" width="0" style="58" hidden="1" customWidth="1"/>
    <col min="786" max="787" width="10.7109375" style="58" bestFit="1" customWidth="1"/>
    <col min="788" max="788" width="10.28515625" style="58" bestFit="1" customWidth="1"/>
    <col min="789" max="789" width="11.85546875" style="58" bestFit="1" customWidth="1"/>
    <col min="790" max="790" width="15.42578125" style="58" customWidth="1"/>
    <col min="791" max="1026" width="9.140625" style="58"/>
    <col min="1027" max="1027" width="7" style="58" bestFit="1" customWidth="1"/>
    <col min="1028" max="1028" width="10" style="58" customWidth="1"/>
    <col min="1029" max="1029" width="5.28515625" style="58" bestFit="1" customWidth="1"/>
    <col min="1030" max="1030" width="55" style="58" customWidth="1"/>
    <col min="1031" max="1031" width="17" style="58" bestFit="1" customWidth="1"/>
    <col min="1032" max="1032" width="19.140625" style="58" customWidth="1"/>
    <col min="1033" max="1033" width="19.42578125" style="58" customWidth="1"/>
    <col min="1034" max="1038" width="15.140625" style="58" customWidth="1"/>
    <col min="1039" max="1041" width="0" style="58" hidden="1" customWidth="1"/>
    <col min="1042" max="1043" width="10.7109375" style="58" bestFit="1" customWidth="1"/>
    <col min="1044" max="1044" width="10.28515625" style="58" bestFit="1" customWidth="1"/>
    <col min="1045" max="1045" width="11.85546875" style="58" bestFit="1" customWidth="1"/>
    <col min="1046" max="1046" width="15.42578125" style="58" customWidth="1"/>
    <col min="1047" max="1282" width="9.140625" style="58"/>
    <col min="1283" max="1283" width="7" style="58" bestFit="1" customWidth="1"/>
    <col min="1284" max="1284" width="10" style="58" customWidth="1"/>
    <col min="1285" max="1285" width="5.28515625" style="58" bestFit="1" customWidth="1"/>
    <col min="1286" max="1286" width="55" style="58" customWidth="1"/>
    <col min="1287" max="1287" width="17" style="58" bestFit="1" customWidth="1"/>
    <col min="1288" max="1288" width="19.140625" style="58" customWidth="1"/>
    <col min="1289" max="1289" width="19.42578125" style="58" customWidth="1"/>
    <col min="1290" max="1294" width="15.140625" style="58" customWidth="1"/>
    <col min="1295" max="1297" width="0" style="58" hidden="1" customWidth="1"/>
    <col min="1298" max="1299" width="10.7109375" style="58" bestFit="1" customWidth="1"/>
    <col min="1300" max="1300" width="10.28515625" style="58" bestFit="1" customWidth="1"/>
    <col min="1301" max="1301" width="11.85546875" style="58" bestFit="1" customWidth="1"/>
    <col min="1302" max="1302" width="15.42578125" style="58" customWidth="1"/>
    <col min="1303" max="1538" width="9.140625" style="58"/>
    <col min="1539" max="1539" width="7" style="58" bestFit="1" customWidth="1"/>
    <col min="1540" max="1540" width="10" style="58" customWidth="1"/>
    <col min="1541" max="1541" width="5.28515625" style="58" bestFit="1" customWidth="1"/>
    <col min="1542" max="1542" width="55" style="58" customWidth="1"/>
    <col min="1543" max="1543" width="17" style="58" bestFit="1" customWidth="1"/>
    <col min="1544" max="1544" width="19.140625" style="58" customWidth="1"/>
    <col min="1545" max="1545" width="19.42578125" style="58" customWidth="1"/>
    <col min="1546" max="1550" width="15.140625" style="58" customWidth="1"/>
    <col min="1551" max="1553" width="0" style="58" hidden="1" customWidth="1"/>
    <col min="1554" max="1555" width="10.7109375" style="58" bestFit="1" customWidth="1"/>
    <col min="1556" max="1556" width="10.28515625" style="58" bestFit="1" customWidth="1"/>
    <col min="1557" max="1557" width="11.85546875" style="58" bestFit="1" customWidth="1"/>
    <col min="1558" max="1558" width="15.42578125" style="58" customWidth="1"/>
    <col min="1559" max="1794" width="9.140625" style="58"/>
    <col min="1795" max="1795" width="7" style="58" bestFit="1" customWidth="1"/>
    <col min="1796" max="1796" width="10" style="58" customWidth="1"/>
    <col min="1797" max="1797" width="5.28515625" style="58" bestFit="1" customWidth="1"/>
    <col min="1798" max="1798" width="55" style="58" customWidth="1"/>
    <col min="1799" max="1799" width="17" style="58" bestFit="1" customWidth="1"/>
    <col min="1800" max="1800" width="19.140625" style="58" customWidth="1"/>
    <col min="1801" max="1801" width="19.42578125" style="58" customWidth="1"/>
    <col min="1802" max="1806" width="15.140625" style="58" customWidth="1"/>
    <col min="1807" max="1809" width="0" style="58" hidden="1" customWidth="1"/>
    <col min="1810" max="1811" width="10.7109375" style="58" bestFit="1" customWidth="1"/>
    <col min="1812" max="1812" width="10.28515625" style="58" bestFit="1" customWidth="1"/>
    <col min="1813" max="1813" width="11.85546875" style="58" bestFit="1" customWidth="1"/>
    <col min="1814" max="1814" width="15.42578125" style="58" customWidth="1"/>
    <col min="1815" max="2050" width="9.140625" style="58"/>
    <col min="2051" max="2051" width="7" style="58" bestFit="1" customWidth="1"/>
    <col min="2052" max="2052" width="10" style="58" customWidth="1"/>
    <col min="2053" max="2053" width="5.28515625" style="58" bestFit="1" customWidth="1"/>
    <col min="2054" max="2054" width="55" style="58" customWidth="1"/>
    <col min="2055" max="2055" width="17" style="58" bestFit="1" customWidth="1"/>
    <col min="2056" max="2056" width="19.140625" style="58" customWidth="1"/>
    <col min="2057" max="2057" width="19.42578125" style="58" customWidth="1"/>
    <col min="2058" max="2062" width="15.140625" style="58" customWidth="1"/>
    <col min="2063" max="2065" width="0" style="58" hidden="1" customWidth="1"/>
    <col min="2066" max="2067" width="10.7109375" style="58" bestFit="1" customWidth="1"/>
    <col min="2068" max="2068" width="10.28515625" style="58" bestFit="1" customWidth="1"/>
    <col min="2069" max="2069" width="11.85546875" style="58" bestFit="1" customWidth="1"/>
    <col min="2070" max="2070" width="15.42578125" style="58" customWidth="1"/>
    <col min="2071" max="2306" width="9.140625" style="58"/>
    <col min="2307" max="2307" width="7" style="58" bestFit="1" customWidth="1"/>
    <col min="2308" max="2308" width="10" style="58" customWidth="1"/>
    <col min="2309" max="2309" width="5.28515625" style="58" bestFit="1" customWidth="1"/>
    <col min="2310" max="2310" width="55" style="58" customWidth="1"/>
    <col min="2311" max="2311" width="17" style="58" bestFit="1" customWidth="1"/>
    <col min="2312" max="2312" width="19.140625" style="58" customWidth="1"/>
    <col min="2313" max="2313" width="19.42578125" style="58" customWidth="1"/>
    <col min="2314" max="2318" width="15.140625" style="58" customWidth="1"/>
    <col min="2319" max="2321" width="0" style="58" hidden="1" customWidth="1"/>
    <col min="2322" max="2323" width="10.7109375" style="58" bestFit="1" customWidth="1"/>
    <col min="2324" max="2324" width="10.28515625" style="58" bestFit="1" customWidth="1"/>
    <col min="2325" max="2325" width="11.85546875" style="58" bestFit="1" customWidth="1"/>
    <col min="2326" max="2326" width="15.42578125" style="58" customWidth="1"/>
    <col min="2327" max="2562" width="9.140625" style="58"/>
    <col min="2563" max="2563" width="7" style="58" bestFit="1" customWidth="1"/>
    <col min="2564" max="2564" width="10" style="58" customWidth="1"/>
    <col min="2565" max="2565" width="5.28515625" style="58" bestFit="1" customWidth="1"/>
    <col min="2566" max="2566" width="55" style="58" customWidth="1"/>
    <col min="2567" max="2567" width="17" style="58" bestFit="1" customWidth="1"/>
    <col min="2568" max="2568" width="19.140625" style="58" customWidth="1"/>
    <col min="2569" max="2569" width="19.42578125" style="58" customWidth="1"/>
    <col min="2570" max="2574" width="15.140625" style="58" customWidth="1"/>
    <col min="2575" max="2577" width="0" style="58" hidden="1" customWidth="1"/>
    <col min="2578" max="2579" width="10.7109375" style="58" bestFit="1" customWidth="1"/>
    <col min="2580" max="2580" width="10.28515625" style="58" bestFit="1" customWidth="1"/>
    <col min="2581" max="2581" width="11.85546875" style="58" bestFit="1" customWidth="1"/>
    <col min="2582" max="2582" width="15.42578125" style="58" customWidth="1"/>
    <col min="2583" max="2818" width="9.140625" style="58"/>
    <col min="2819" max="2819" width="7" style="58" bestFit="1" customWidth="1"/>
    <col min="2820" max="2820" width="10" style="58" customWidth="1"/>
    <col min="2821" max="2821" width="5.28515625" style="58" bestFit="1" customWidth="1"/>
    <col min="2822" max="2822" width="55" style="58" customWidth="1"/>
    <col min="2823" max="2823" width="17" style="58" bestFit="1" customWidth="1"/>
    <col min="2824" max="2824" width="19.140625" style="58" customWidth="1"/>
    <col min="2825" max="2825" width="19.42578125" style="58" customWidth="1"/>
    <col min="2826" max="2830" width="15.140625" style="58" customWidth="1"/>
    <col min="2831" max="2833" width="0" style="58" hidden="1" customWidth="1"/>
    <col min="2834" max="2835" width="10.7109375" style="58" bestFit="1" customWidth="1"/>
    <col min="2836" max="2836" width="10.28515625" style="58" bestFit="1" customWidth="1"/>
    <col min="2837" max="2837" width="11.85546875" style="58" bestFit="1" customWidth="1"/>
    <col min="2838" max="2838" width="15.42578125" style="58" customWidth="1"/>
    <col min="2839" max="3074" width="9.140625" style="58"/>
    <col min="3075" max="3075" width="7" style="58" bestFit="1" customWidth="1"/>
    <col min="3076" max="3076" width="10" style="58" customWidth="1"/>
    <col min="3077" max="3077" width="5.28515625" style="58" bestFit="1" customWidth="1"/>
    <col min="3078" max="3078" width="55" style="58" customWidth="1"/>
    <col min="3079" max="3079" width="17" style="58" bestFit="1" customWidth="1"/>
    <col min="3080" max="3080" width="19.140625" style="58" customWidth="1"/>
    <col min="3081" max="3081" width="19.42578125" style="58" customWidth="1"/>
    <col min="3082" max="3086" width="15.140625" style="58" customWidth="1"/>
    <col min="3087" max="3089" width="0" style="58" hidden="1" customWidth="1"/>
    <col min="3090" max="3091" width="10.7109375" style="58" bestFit="1" customWidth="1"/>
    <col min="3092" max="3092" width="10.28515625" style="58" bestFit="1" customWidth="1"/>
    <col min="3093" max="3093" width="11.85546875" style="58" bestFit="1" customWidth="1"/>
    <col min="3094" max="3094" width="15.42578125" style="58" customWidth="1"/>
    <col min="3095" max="3330" width="9.140625" style="58"/>
    <col min="3331" max="3331" width="7" style="58" bestFit="1" customWidth="1"/>
    <col min="3332" max="3332" width="10" style="58" customWidth="1"/>
    <col min="3333" max="3333" width="5.28515625" style="58" bestFit="1" customWidth="1"/>
    <col min="3334" max="3334" width="55" style="58" customWidth="1"/>
    <col min="3335" max="3335" width="17" style="58" bestFit="1" customWidth="1"/>
    <col min="3336" max="3336" width="19.140625" style="58" customWidth="1"/>
    <col min="3337" max="3337" width="19.42578125" style="58" customWidth="1"/>
    <col min="3338" max="3342" width="15.140625" style="58" customWidth="1"/>
    <col min="3343" max="3345" width="0" style="58" hidden="1" customWidth="1"/>
    <col min="3346" max="3347" width="10.7109375" style="58" bestFit="1" customWidth="1"/>
    <col min="3348" max="3348" width="10.28515625" style="58" bestFit="1" customWidth="1"/>
    <col min="3349" max="3349" width="11.85546875" style="58" bestFit="1" customWidth="1"/>
    <col min="3350" max="3350" width="15.42578125" style="58" customWidth="1"/>
    <col min="3351" max="3586" width="9.140625" style="58"/>
    <col min="3587" max="3587" width="7" style="58" bestFit="1" customWidth="1"/>
    <col min="3588" max="3588" width="10" style="58" customWidth="1"/>
    <col min="3589" max="3589" width="5.28515625" style="58" bestFit="1" customWidth="1"/>
    <col min="3590" max="3590" width="55" style="58" customWidth="1"/>
    <col min="3591" max="3591" width="17" style="58" bestFit="1" customWidth="1"/>
    <col min="3592" max="3592" width="19.140625" style="58" customWidth="1"/>
    <col min="3593" max="3593" width="19.42578125" style="58" customWidth="1"/>
    <col min="3594" max="3598" width="15.140625" style="58" customWidth="1"/>
    <col min="3599" max="3601" width="0" style="58" hidden="1" customWidth="1"/>
    <col min="3602" max="3603" width="10.7109375" style="58" bestFit="1" customWidth="1"/>
    <col min="3604" max="3604" width="10.28515625" style="58" bestFit="1" customWidth="1"/>
    <col min="3605" max="3605" width="11.85546875" style="58" bestFit="1" customWidth="1"/>
    <col min="3606" max="3606" width="15.42578125" style="58" customWidth="1"/>
    <col min="3607" max="3842" width="9.140625" style="58"/>
    <col min="3843" max="3843" width="7" style="58" bestFit="1" customWidth="1"/>
    <col min="3844" max="3844" width="10" style="58" customWidth="1"/>
    <col min="3845" max="3845" width="5.28515625" style="58" bestFit="1" customWidth="1"/>
    <col min="3846" max="3846" width="55" style="58" customWidth="1"/>
    <col min="3847" max="3847" width="17" style="58" bestFit="1" customWidth="1"/>
    <col min="3848" max="3848" width="19.140625" style="58" customWidth="1"/>
    <col min="3849" max="3849" width="19.42578125" style="58" customWidth="1"/>
    <col min="3850" max="3854" width="15.140625" style="58" customWidth="1"/>
    <col min="3855" max="3857" width="0" style="58" hidden="1" customWidth="1"/>
    <col min="3858" max="3859" width="10.7109375" style="58" bestFit="1" customWidth="1"/>
    <col min="3860" max="3860" width="10.28515625" style="58" bestFit="1" customWidth="1"/>
    <col min="3861" max="3861" width="11.85546875" style="58" bestFit="1" customWidth="1"/>
    <col min="3862" max="3862" width="15.42578125" style="58" customWidth="1"/>
    <col min="3863" max="4098" width="9.140625" style="58"/>
    <col min="4099" max="4099" width="7" style="58" bestFit="1" customWidth="1"/>
    <col min="4100" max="4100" width="10" style="58" customWidth="1"/>
    <col min="4101" max="4101" width="5.28515625" style="58" bestFit="1" customWidth="1"/>
    <col min="4102" max="4102" width="55" style="58" customWidth="1"/>
    <col min="4103" max="4103" width="17" style="58" bestFit="1" customWidth="1"/>
    <col min="4104" max="4104" width="19.140625" style="58" customWidth="1"/>
    <col min="4105" max="4105" width="19.42578125" style="58" customWidth="1"/>
    <col min="4106" max="4110" width="15.140625" style="58" customWidth="1"/>
    <col min="4111" max="4113" width="0" style="58" hidden="1" customWidth="1"/>
    <col min="4114" max="4115" width="10.7109375" style="58" bestFit="1" customWidth="1"/>
    <col min="4116" max="4116" width="10.28515625" style="58" bestFit="1" customWidth="1"/>
    <col min="4117" max="4117" width="11.85546875" style="58" bestFit="1" customWidth="1"/>
    <col min="4118" max="4118" width="15.42578125" style="58" customWidth="1"/>
    <col min="4119" max="4354" width="9.140625" style="58"/>
    <col min="4355" max="4355" width="7" style="58" bestFit="1" customWidth="1"/>
    <col min="4356" max="4356" width="10" style="58" customWidth="1"/>
    <col min="4357" max="4357" width="5.28515625" style="58" bestFit="1" customWidth="1"/>
    <col min="4358" max="4358" width="55" style="58" customWidth="1"/>
    <col min="4359" max="4359" width="17" style="58" bestFit="1" customWidth="1"/>
    <col min="4360" max="4360" width="19.140625" style="58" customWidth="1"/>
    <col min="4361" max="4361" width="19.42578125" style="58" customWidth="1"/>
    <col min="4362" max="4366" width="15.140625" style="58" customWidth="1"/>
    <col min="4367" max="4369" width="0" style="58" hidden="1" customWidth="1"/>
    <col min="4370" max="4371" width="10.7109375" style="58" bestFit="1" customWidth="1"/>
    <col min="4372" max="4372" width="10.28515625" style="58" bestFit="1" customWidth="1"/>
    <col min="4373" max="4373" width="11.85546875" style="58" bestFit="1" customWidth="1"/>
    <col min="4374" max="4374" width="15.42578125" style="58" customWidth="1"/>
    <col min="4375" max="4610" width="9.140625" style="58"/>
    <col min="4611" max="4611" width="7" style="58" bestFit="1" customWidth="1"/>
    <col min="4612" max="4612" width="10" style="58" customWidth="1"/>
    <col min="4613" max="4613" width="5.28515625" style="58" bestFit="1" customWidth="1"/>
    <col min="4614" max="4614" width="55" style="58" customWidth="1"/>
    <col min="4615" max="4615" width="17" style="58" bestFit="1" customWidth="1"/>
    <col min="4616" max="4616" width="19.140625" style="58" customWidth="1"/>
    <col min="4617" max="4617" width="19.42578125" style="58" customWidth="1"/>
    <col min="4618" max="4622" width="15.140625" style="58" customWidth="1"/>
    <col min="4623" max="4625" width="0" style="58" hidden="1" customWidth="1"/>
    <col min="4626" max="4627" width="10.7109375" style="58" bestFit="1" customWidth="1"/>
    <col min="4628" max="4628" width="10.28515625" style="58" bestFit="1" customWidth="1"/>
    <col min="4629" max="4629" width="11.85546875" style="58" bestFit="1" customWidth="1"/>
    <col min="4630" max="4630" width="15.42578125" style="58" customWidth="1"/>
    <col min="4631" max="4866" width="9.140625" style="58"/>
    <col min="4867" max="4867" width="7" style="58" bestFit="1" customWidth="1"/>
    <col min="4868" max="4868" width="10" style="58" customWidth="1"/>
    <col min="4869" max="4869" width="5.28515625" style="58" bestFit="1" customWidth="1"/>
    <col min="4870" max="4870" width="55" style="58" customWidth="1"/>
    <col min="4871" max="4871" width="17" style="58" bestFit="1" customWidth="1"/>
    <col min="4872" max="4872" width="19.140625" style="58" customWidth="1"/>
    <col min="4873" max="4873" width="19.42578125" style="58" customWidth="1"/>
    <col min="4874" max="4878" width="15.140625" style="58" customWidth="1"/>
    <col min="4879" max="4881" width="0" style="58" hidden="1" customWidth="1"/>
    <col min="4882" max="4883" width="10.7109375" style="58" bestFit="1" customWidth="1"/>
    <col min="4884" max="4884" width="10.28515625" style="58" bestFit="1" customWidth="1"/>
    <col min="4885" max="4885" width="11.85546875" style="58" bestFit="1" customWidth="1"/>
    <col min="4886" max="4886" width="15.42578125" style="58" customWidth="1"/>
    <col min="4887" max="5122" width="9.140625" style="58"/>
    <col min="5123" max="5123" width="7" style="58" bestFit="1" customWidth="1"/>
    <col min="5124" max="5124" width="10" style="58" customWidth="1"/>
    <col min="5125" max="5125" width="5.28515625" style="58" bestFit="1" customWidth="1"/>
    <col min="5126" max="5126" width="55" style="58" customWidth="1"/>
    <col min="5127" max="5127" width="17" style="58" bestFit="1" customWidth="1"/>
    <col min="5128" max="5128" width="19.140625" style="58" customWidth="1"/>
    <col min="5129" max="5129" width="19.42578125" style="58" customWidth="1"/>
    <col min="5130" max="5134" width="15.140625" style="58" customWidth="1"/>
    <col min="5135" max="5137" width="0" style="58" hidden="1" customWidth="1"/>
    <col min="5138" max="5139" width="10.7109375" style="58" bestFit="1" customWidth="1"/>
    <col min="5140" max="5140" width="10.28515625" style="58" bestFit="1" customWidth="1"/>
    <col min="5141" max="5141" width="11.85546875" style="58" bestFit="1" customWidth="1"/>
    <col min="5142" max="5142" width="15.42578125" style="58" customWidth="1"/>
    <col min="5143" max="5378" width="9.140625" style="58"/>
    <col min="5379" max="5379" width="7" style="58" bestFit="1" customWidth="1"/>
    <col min="5380" max="5380" width="10" style="58" customWidth="1"/>
    <col min="5381" max="5381" width="5.28515625" style="58" bestFit="1" customWidth="1"/>
    <col min="5382" max="5382" width="55" style="58" customWidth="1"/>
    <col min="5383" max="5383" width="17" style="58" bestFit="1" customWidth="1"/>
    <col min="5384" max="5384" width="19.140625" style="58" customWidth="1"/>
    <col min="5385" max="5385" width="19.42578125" style="58" customWidth="1"/>
    <col min="5386" max="5390" width="15.140625" style="58" customWidth="1"/>
    <col min="5391" max="5393" width="0" style="58" hidden="1" customWidth="1"/>
    <col min="5394" max="5395" width="10.7109375" style="58" bestFit="1" customWidth="1"/>
    <col min="5396" max="5396" width="10.28515625" style="58" bestFit="1" customWidth="1"/>
    <col min="5397" max="5397" width="11.85546875" style="58" bestFit="1" customWidth="1"/>
    <col min="5398" max="5398" width="15.42578125" style="58" customWidth="1"/>
    <col min="5399" max="5634" width="9.140625" style="58"/>
    <col min="5635" max="5635" width="7" style="58" bestFit="1" customWidth="1"/>
    <col min="5636" max="5636" width="10" style="58" customWidth="1"/>
    <col min="5637" max="5637" width="5.28515625" style="58" bestFit="1" customWidth="1"/>
    <col min="5638" max="5638" width="55" style="58" customWidth="1"/>
    <col min="5639" max="5639" width="17" style="58" bestFit="1" customWidth="1"/>
    <col min="5640" max="5640" width="19.140625" style="58" customWidth="1"/>
    <col min="5641" max="5641" width="19.42578125" style="58" customWidth="1"/>
    <col min="5642" max="5646" width="15.140625" style="58" customWidth="1"/>
    <col min="5647" max="5649" width="0" style="58" hidden="1" customWidth="1"/>
    <col min="5650" max="5651" width="10.7109375" style="58" bestFit="1" customWidth="1"/>
    <col min="5652" max="5652" width="10.28515625" style="58" bestFit="1" customWidth="1"/>
    <col min="5653" max="5653" width="11.85546875" style="58" bestFit="1" customWidth="1"/>
    <col min="5654" max="5654" width="15.42578125" style="58" customWidth="1"/>
    <col min="5655" max="5890" width="9.140625" style="58"/>
    <col min="5891" max="5891" width="7" style="58" bestFit="1" customWidth="1"/>
    <col min="5892" max="5892" width="10" style="58" customWidth="1"/>
    <col min="5893" max="5893" width="5.28515625" style="58" bestFit="1" customWidth="1"/>
    <col min="5894" max="5894" width="55" style="58" customWidth="1"/>
    <col min="5895" max="5895" width="17" style="58" bestFit="1" customWidth="1"/>
    <col min="5896" max="5896" width="19.140625" style="58" customWidth="1"/>
    <col min="5897" max="5897" width="19.42578125" style="58" customWidth="1"/>
    <col min="5898" max="5902" width="15.140625" style="58" customWidth="1"/>
    <col min="5903" max="5905" width="0" style="58" hidden="1" customWidth="1"/>
    <col min="5906" max="5907" width="10.7109375" style="58" bestFit="1" customWidth="1"/>
    <col min="5908" max="5908" width="10.28515625" style="58" bestFit="1" customWidth="1"/>
    <col min="5909" max="5909" width="11.85546875" style="58" bestFit="1" customWidth="1"/>
    <col min="5910" max="5910" width="15.42578125" style="58" customWidth="1"/>
    <col min="5911" max="6146" width="9.140625" style="58"/>
    <col min="6147" max="6147" width="7" style="58" bestFit="1" customWidth="1"/>
    <col min="6148" max="6148" width="10" style="58" customWidth="1"/>
    <col min="6149" max="6149" width="5.28515625" style="58" bestFit="1" customWidth="1"/>
    <col min="6150" max="6150" width="55" style="58" customWidth="1"/>
    <col min="6151" max="6151" width="17" style="58" bestFit="1" customWidth="1"/>
    <col min="6152" max="6152" width="19.140625" style="58" customWidth="1"/>
    <col min="6153" max="6153" width="19.42578125" style="58" customWidth="1"/>
    <col min="6154" max="6158" width="15.140625" style="58" customWidth="1"/>
    <col min="6159" max="6161" width="0" style="58" hidden="1" customWidth="1"/>
    <col min="6162" max="6163" width="10.7109375" style="58" bestFit="1" customWidth="1"/>
    <col min="6164" max="6164" width="10.28515625" style="58" bestFit="1" customWidth="1"/>
    <col min="6165" max="6165" width="11.85546875" style="58" bestFit="1" customWidth="1"/>
    <col min="6166" max="6166" width="15.42578125" style="58" customWidth="1"/>
    <col min="6167" max="6402" width="9.140625" style="58"/>
    <col min="6403" max="6403" width="7" style="58" bestFit="1" customWidth="1"/>
    <col min="6404" max="6404" width="10" style="58" customWidth="1"/>
    <col min="6405" max="6405" width="5.28515625" style="58" bestFit="1" customWidth="1"/>
    <col min="6406" max="6406" width="55" style="58" customWidth="1"/>
    <col min="6407" max="6407" width="17" style="58" bestFit="1" customWidth="1"/>
    <col min="6408" max="6408" width="19.140625" style="58" customWidth="1"/>
    <col min="6409" max="6409" width="19.42578125" style="58" customWidth="1"/>
    <col min="6410" max="6414" width="15.140625" style="58" customWidth="1"/>
    <col min="6415" max="6417" width="0" style="58" hidden="1" customWidth="1"/>
    <col min="6418" max="6419" width="10.7109375" style="58" bestFit="1" customWidth="1"/>
    <col min="6420" max="6420" width="10.28515625" style="58" bestFit="1" customWidth="1"/>
    <col min="6421" max="6421" width="11.85546875" style="58" bestFit="1" customWidth="1"/>
    <col min="6422" max="6422" width="15.42578125" style="58" customWidth="1"/>
    <col min="6423" max="6658" width="9.140625" style="58"/>
    <col min="6659" max="6659" width="7" style="58" bestFit="1" customWidth="1"/>
    <col min="6660" max="6660" width="10" style="58" customWidth="1"/>
    <col min="6661" max="6661" width="5.28515625" style="58" bestFit="1" customWidth="1"/>
    <col min="6662" max="6662" width="55" style="58" customWidth="1"/>
    <col min="6663" max="6663" width="17" style="58" bestFit="1" customWidth="1"/>
    <col min="6664" max="6664" width="19.140625" style="58" customWidth="1"/>
    <col min="6665" max="6665" width="19.42578125" style="58" customWidth="1"/>
    <col min="6666" max="6670" width="15.140625" style="58" customWidth="1"/>
    <col min="6671" max="6673" width="0" style="58" hidden="1" customWidth="1"/>
    <col min="6674" max="6675" width="10.7109375" style="58" bestFit="1" customWidth="1"/>
    <col min="6676" max="6676" width="10.28515625" style="58" bestFit="1" customWidth="1"/>
    <col min="6677" max="6677" width="11.85546875" style="58" bestFit="1" customWidth="1"/>
    <col min="6678" max="6678" width="15.42578125" style="58" customWidth="1"/>
    <col min="6679" max="6914" width="9.140625" style="58"/>
    <col min="6915" max="6915" width="7" style="58" bestFit="1" customWidth="1"/>
    <col min="6916" max="6916" width="10" style="58" customWidth="1"/>
    <col min="6917" max="6917" width="5.28515625" style="58" bestFit="1" customWidth="1"/>
    <col min="6918" max="6918" width="55" style="58" customWidth="1"/>
    <col min="6919" max="6919" width="17" style="58" bestFit="1" customWidth="1"/>
    <col min="6920" max="6920" width="19.140625" style="58" customWidth="1"/>
    <col min="6921" max="6921" width="19.42578125" style="58" customWidth="1"/>
    <col min="6922" max="6926" width="15.140625" style="58" customWidth="1"/>
    <col min="6927" max="6929" width="0" style="58" hidden="1" customWidth="1"/>
    <col min="6930" max="6931" width="10.7109375" style="58" bestFit="1" customWidth="1"/>
    <col min="6932" max="6932" width="10.28515625" style="58" bestFit="1" customWidth="1"/>
    <col min="6933" max="6933" width="11.85546875" style="58" bestFit="1" customWidth="1"/>
    <col min="6934" max="6934" width="15.42578125" style="58" customWidth="1"/>
    <col min="6935" max="7170" width="9.140625" style="58"/>
    <col min="7171" max="7171" width="7" style="58" bestFit="1" customWidth="1"/>
    <col min="7172" max="7172" width="10" style="58" customWidth="1"/>
    <col min="7173" max="7173" width="5.28515625" style="58" bestFit="1" customWidth="1"/>
    <col min="7174" max="7174" width="55" style="58" customWidth="1"/>
    <col min="7175" max="7175" width="17" style="58" bestFit="1" customWidth="1"/>
    <col min="7176" max="7176" width="19.140625" style="58" customWidth="1"/>
    <col min="7177" max="7177" width="19.42578125" style="58" customWidth="1"/>
    <col min="7178" max="7182" width="15.140625" style="58" customWidth="1"/>
    <col min="7183" max="7185" width="0" style="58" hidden="1" customWidth="1"/>
    <col min="7186" max="7187" width="10.7109375" style="58" bestFit="1" customWidth="1"/>
    <col min="7188" max="7188" width="10.28515625" style="58" bestFit="1" customWidth="1"/>
    <col min="7189" max="7189" width="11.85546875" style="58" bestFit="1" customWidth="1"/>
    <col min="7190" max="7190" width="15.42578125" style="58" customWidth="1"/>
    <col min="7191" max="7426" width="9.140625" style="58"/>
    <col min="7427" max="7427" width="7" style="58" bestFit="1" customWidth="1"/>
    <col min="7428" max="7428" width="10" style="58" customWidth="1"/>
    <col min="7429" max="7429" width="5.28515625" style="58" bestFit="1" customWidth="1"/>
    <col min="7430" max="7430" width="55" style="58" customWidth="1"/>
    <col min="7431" max="7431" width="17" style="58" bestFit="1" customWidth="1"/>
    <col min="7432" max="7432" width="19.140625" style="58" customWidth="1"/>
    <col min="7433" max="7433" width="19.42578125" style="58" customWidth="1"/>
    <col min="7434" max="7438" width="15.140625" style="58" customWidth="1"/>
    <col min="7439" max="7441" width="0" style="58" hidden="1" customWidth="1"/>
    <col min="7442" max="7443" width="10.7109375" style="58" bestFit="1" customWidth="1"/>
    <col min="7444" max="7444" width="10.28515625" style="58" bestFit="1" customWidth="1"/>
    <col min="7445" max="7445" width="11.85546875" style="58" bestFit="1" customWidth="1"/>
    <col min="7446" max="7446" width="15.42578125" style="58" customWidth="1"/>
    <col min="7447" max="7682" width="9.140625" style="58"/>
    <col min="7683" max="7683" width="7" style="58" bestFit="1" customWidth="1"/>
    <col min="7684" max="7684" width="10" style="58" customWidth="1"/>
    <col min="7685" max="7685" width="5.28515625" style="58" bestFit="1" customWidth="1"/>
    <col min="7686" max="7686" width="55" style="58" customWidth="1"/>
    <col min="7687" max="7687" width="17" style="58" bestFit="1" customWidth="1"/>
    <col min="7688" max="7688" width="19.140625" style="58" customWidth="1"/>
    <col min="7689" max="7689" width="19.42578125" style="58" customWidth="1"/>
    <col min="7690" max="7694" width="15.140625" style="58" customWidth="1"/>
    <col min="7695" max="7697" width="0" style="58" hidden="1" customWidth="1"/>
    <col min="7698" max="7699" width="10.7109375" style="58" bestFit="1" customWidth="1"/>
    <col min="7700" max="7700" width="10.28515625" style="58" bestFit="1" customWidth="1"/>
    <col min="7701" max="7701" width="11.85546875" style="58" bestFit="1" customWidth="1"/>
    <col min="7702" max="7702" width="15.42578125" style="58" customWidth="1"/>
    <col min="7703" max="7938" width="9.140625" style="58"/>
    <col min="7939" max="7939" width="7" style="58" bestFit="1" customWidth="1"/>
    <col min="7940" max="7940" width="10" style="58" customWidth="1"/>
    <col min="7941" max="7941" width="5.28515625" style="58" bestFit="1" customWidth="1"/>
    <col min="7942" max="7942" width="55" style="58" customWidth="1"/>
    <col min="7943" max="7943" width="17" style="58" bestFit="1" customWidth="1"/>
    <col min="7944" max="7944" width="19.140625" style="58" customWidth="1"/>
    <col min="7945" max="7945" width="19.42578125" style="58" customWidth="1"/>
    <col min="7946" max="7950" width="15.140625" style="58" customWidth="1"/>
    <col min="7951" max="7953" width="0" style="58" hidden="1" customWidth="1"/>
    <col min="7954" max="7955" width="10.7109375" style="58" bestFit="1" customWidth="1"/>
    <col min="7956" max="7956" width="10.28515625" style="58" bestFit="1" customWidth="1"/>
    <col min="7957" max="7957" width="11.85546875" style="58" bestFit="1" customWidth="1"/>
    <col min="7958" max="7958" width="15.42578125" style="58" customWidth="1"/>
    <col min="7959" max="8194" width="9.140625" style="58"/>
    <col min="8195" max="8195" width="7" style="58" bestFit="1" customWidth="1"/>
    <col min="8196" max="8196" width="10" style="58" customWidth="1"/>
    <col min="8197" max="8197" width="5.28515625" style="58" bestFit="1" customWidth="1"/>
    <col min="8198" max="8198" width="55" style="58" customWidth="1"/>
    <col min="8199" max="8199" width="17" style="58" bestFit="1" customWidth="1"/>
    <col min="8200" max="8200" width="19.140625" style="58" customWidth="1"/>
    <col min="8201" max="8201" width="19.42578125" style="58" customWidth="1"/>
    <col min="8202" max="8206" width="15.140625" style="58" customWidth="1"/>
    <col min="8207" max="8209" width="0" style="58" hidden="1" customWidth="1"/>
    <col min="8210" max="8211" width="10.7109375" style="58" bestFit="1" customWidth="1"/>
    <col min="8212" max="8212" width="10.28515625" style="58" bestFit="1" customWidth="1"/>
    <col min="8213" max="8213" width="11.85546875" style="58" bestFit="1" customWidth="1"/>
    <col min="8214" max="8214" width="15.42578125" style="58" customWidth="1"/>
    <col min="8215" max="8450" width="9.140625" style="58"/>
    <col min="8451" max="8451" width="7" style="58" bestFit="1" customWidth="1"/>
    <col min="8452" max="8452" width="10" style="58" customWidth="1"/>
    <col min="8453" max="8453" width="5.28515625" style="58" bestFit="1" customWidth="1"/>
    <col min="8454" max="8454" width="55" style="58" customWidth="1"/>
    <col min="8455" max="8455" width="17" style="58" bestFit="1" customWidth="1"/>
    <col min="8456" max="8456" width="19.140625" style="58" customWidth="1"/>
    <col min="8457" max="8457" width="19.42578125" style="58" customWidth="1"/>
    <col min="8458" max="8462" width="15.140625" style="58" customWidth="1"/>
    <col min="8463" max="8465" width="0" style="58" hidden="1" customWidth="1"/>
    <col min="8466" max="8467" width="10.7109375" style="58" bestFit="1" customWidth="1"/>
    <col min="8468" max="8468" width="10.28515625" style="58" bestFit="1" customWidth="1"/>
    <col min="8469" max="8469" width="11.85546875" style="58" bestFit="1" customWidth="1"/>
    <col min="8470" max="8470" width="15.42578125" style="58" customWidth="1"/>
    <col min="8471" max="8706" width="9.140625" style="58"/>
    <col min="8707" max="8707" width="7" style="58" bestFit="1" customWidth="1"/>
    <col min="8708" max="8708" width="10" style="58" customWidth="1"/>
    <col min="8709" max="8709" width="5.28515625" style="58" bestFit="1" customWidth="1"/>
    <col min="8710" max="8710" width="55" style="58" customWidth="1"/>
    <col min="8711" max="8711" width="17" style="58" bestFit="1" customWidth="1"/>
    <col min="8712" max="8712" width="19.140625" style="58" customWidth="1"/>
    <col min="8713" max="8713" width="19.42578125" style="58" customWidth="1"/>
    <col min="8714" max="8718" width="15.140625" style="58" customWidth="1"/>
    <col min="8719" max="8721" width="0" style="58" hidden="1" customWidth="1"/>
    <col min="8722" max="8723" width="10.7109375" style="58" bestFit="1" customWidth="1"/>
    <col min="8724" max="8724" width="10.28515625" style="58" bestFit="1" customWidth="1"/>
    <col min="8725" max="8725" width="11.85546875" style="58" bestFit="1" customWidth="1"/>
    <col min="8726" max="8726" width="15.42578125" style="58" customWidth="1"/>
    <col min="8727" max="8962" width="9.140625" style="58"/>
    <col min="8963" max="8963" width="7" style="58" bestFit="1" customWidth="1"/>
    <col min="8964" max="8964" width="10" style="58" customWidth="1"/>
    <col min="8965" max="8965" width="5.28515625" style="58" bestFit="1" customWidth="1"/>
    <col min="8966" max="8966" width="55" style="58" customWidth="1"/>
    <col min="8967" max="8967" width="17" style="58" bestFit="1" customWidth="1"/>
    <col min="8968" max="8968" width="19.140625" style="58" customWidth="1"/>
    <col min="8969" max="8969" width="19.42578125" style="58" customWidth="1"/>
    <col min="8970" max="8974" width="15.140625" style="58" customWidth="1"/>
    <col min="8975" max="8977" width="0" style="58" hidden="1" customWidth="1"/>
    <col min="8978" max="8979" width="10.7109375" style="58" bestFit="1" customWidth="1"/>
    <col min="8980" max="8980" width="10.28515625" style="58" bestFit="1" customWidth="1"/>
    <col min="8981" max="8981" width="11.85546875" style="58" bestFit="1" customWidth="1"/>
    <col min="8982" max="8982" width="15.42578125" style="58" customWidth="1"/>
    <col min="8983" max="9218" width="9.140625" style="58"/>
    <col min="9219" max="9219" width="7" style="58" bestFit="1" customWidth="1"/>
    <col min="9220" max="9220" width="10" style="58" customWidth="1"/>
    <col min="9221" max="9221" width="5.28515625" style="58" bestFit="1" customWidth="1"/>
    <col min="9222" max="9222" width="55" style="58" customWidth="1"/>
    <col min="9223" max="9223" width="17" style="58" bestFit="1" customWidth="1"/>
    <col min="9224" max="9224" width="19.140625" style="58" customWidth="1"/>
    <col min="9225" max="9225" width="19.42578125" style="58" customWidth="1"/>
    <col min="9226" max="9230" width="15.140625" style="58" customWidth="1"/>
    <col min="9231" max="9233" width="0" style="58" hidden="1" customWidth="1"/>
    <col min="9234" max="9235" width="10.7109375" style="58" bestFit="1" customWidth="1"/>
    <col min="9236" max="9236" width="10.28515625" style="58" bestFit="1" customWidth="1"/>
    <col min="9237" max="9237" width="11.85546875" style="58" bestFit="1" customWidth="1"/>
    <col min="9238" max="9238" width="15.42578125" style="58" customWidth="1"/>
    <col min="9239" max="9474" width="9.140625" style="58"/>
    <col min="9475" max="9475" width="7" style="58" bestFit="1" customWidth="1"/>
    <col min="9476" max="9476" width="10" style="58" customWidth="1"/>
    <col min="9477" max="9477" width="5.28515625" style="58" bestFit="1" customWidth="1"/>
    <col min="9478" max="9478" width="55" style="58" customWidth="1"/>
    <col min="9479" max="9479" width="17" style="58" bestFit="1" customWidth="1"/>
    <col min="9480" max="9480" width="19.140625" style="58" customWidth="1"/>
    <col min="9481" max="9481" width="19.42578125" style="58" customWidth="1"/>
    <col min="9482" max="9486" width="15.140625" style="58" customWidth="1"/>
    <col min="9487" max="9489" width="0" style="58" hidden="1" customWidth="1"/>
    <col min="9490" max="9491" width="10.7109375" style="58" bestFit="1" customWidth="1"/>
    <col min="9492" max="9492" width="10.28515625" style="58" bestFit="1" customWidth="1"/>
    <col min="9493" max="9493" width="11.85546875" style="58" bestFit="1" customWidth="1"/>
    <col min="9494" max="9494" width="15.42578125" style="58" customWidth="1"/>
    <col min="9495" max="9730" width="9.140625" style="58"/>
    <col min="9731" max="9731" width="7" style="58" bestFit="1" customWidth="1"/>
    <col min="9732" max="9732" width="10" style="58" customWidth="1"/>
    <col min="9733" max="9733" width="5.28515625" style="58" bestFit="1" customWidth="1"/>
    <col min="9734" max="9734" width="55" style="58" customWidth="1"/>
    <col min="9735" max="9735" width="17" style="58" bestFit="1" customWidth="1"/>
    <col min="9736" max="9736" width="19.140625" style="58" customWidth="1"/>
    <col min="9737" max="9737" width="19.42578125" style="58" customWidth="1"/>
    <col min="9738" max="9742" width="15.140625" style="58" customWidth="1"/>
    <col min="9743" max="9745" width="0" style="58" hidden="1" customWidth="1"/>
    <col min="9746" max="9747" width="10.7109375" style="58" bestFit="1" customWidth="1"/>
    <col min="9748" max="9748" width="10.28515625" style="58" bestFit="1" customWidth="1"/>
    <col min="9749" max="9749" width="11.85546875" style="58" bestFit="1" customWidth="1"/>
    <col min="9750" max="9750" width="15.42578125" style="58" customWidth="1"/>
    <col min="9751" max="9986" width="9.140625" style="58"/>
    <col min="9987" max="9987" width="7" style="58" bestFit="1" customWidth="1"/>
    <col min="9988" max="9988" width="10" style="58" customWidth="1"/>
    <col min="9989" max="9989" width="5.28515625" style="58" bestFit="1" customWidth="1"/>
    <col min="9990" max="9990" width="55" style="58" customWidth="1"/>
    <col min="9991" max="9991" width="17" style="58" bestFit="1" customWidth="1"/>
    <col min="9992" max="9992" width="19.140625" style="58" customWidth="1"/>
    <col min="9993" max="9993" width="19.42578125" style="58" customWidth="1"/>
    <col min="9994" max="9998" width="15.140625" style="58" customWidth="1"/>
    <col min="9999" max="10001" width="0" style="58" hidden="1" customWidth="1"/>
    <col min="10002" max="10003" width="10.7109375" style="58" bestFit="1" customWidth="1"/>
    <col min="10004" max="10004" width="10.28515625" style="58" bestFit="1" customWidth="1"/>
    <col min="10005" max="10005" width="11.85546875" style="58" bestFit="1" customWidth="1"/>
    <col min="10006" max="10006" width="15.42578125" style="58" customWidth="1"/>
    <col min="10007" max="10242" width="9.140625" style="58"/>
    <col min="10243" max="10243" width="7" style="58" bestFit="1" customWidth="1"/>
    <col min="10244" max="10244" width="10" style="58" customWidth="1"/>
    <col min="10245" max="10245" width="5.28515625" style="58" bestFit="1" customWidth="1"/>
    <col min="10246" max="10246" width="55" style="58" customWidth="1"/>
    <col min="10247" max="10247" width="17" style="58" bestFit="1" customWidth="1"/>
    <col min="10248" max="10248" width="19.140625" style="58" customWidth="1"/>
    <col min="10249" max="10249" width="19.42578125" style="58" customWidth="1"/>
    <col min="10250" max="10254" width="15.140625" style="58" customWidth="1"/>
    <col min="10255" max="10257" width="0" style="58" hidden="1" customWidth="1"/>
    <col min="10258" max="10259" width="10.7109375" style="58" bestFit="1" customWidth="1"/>
    <col min="10260" max="10260" width="10.28515625" style="58" bestFit="1" customWidth="1"/>
    <col min="10261" max="10261" width="11.85546875" style="58" bestFit="1" customWidth="1"/>
    <col min="10262" max="10262" width="15.42578125" style="58" customWidth="1"/>
    <col min="10263" max="10498" width="9.140625" style="58"/>
    <col min="10499" max="10499" width="7" style="58" bestFit="1" customWidth="1"/>
    <col min="10500" max="10500" width="10" style="58" customWidth="1"/>
    <col min="10501" max="10501" width="5.28515625" style="58" bestFit="1" customWidth="1"/>
    <col min="10502" max="10502" width="55" style="58" customWidth="1"/>
    <col min="10503" max="10503" width="17" style="58" bestFit="1" customWidth="1"/>
    <col min="10504" max="10504" width="19.140625" style="58" customWidth="1"/>
    <col min="10505" max="10505" width="19.42578125" style="58" customWidth="1"/>
    <col min="10506" max="10510" width="15.140625" style="58" customWidth="1"/>
    <col min="10511" max="10513" width="0" style="58" hidden="1" customWidth="1"/>
    <col min="10514" max="10515" width="10.7109375" style="58" bestFit="1" customWidth="1"/>
    <col min="10516" max="10516" width="10.28515625" style="58" bestFit="1" customWidth="1"/>
    <col min="10517" max="10517" width="11.85546875" style="58" bestFit="1" customWidth="1"/>
    <col min="10518" max="10518" width="15.42578125" style="58" customWidth="1"/>
    <col min="10519" max="10754" width="9.140625" style="58"/>
    <col min="10755" max="10755" width="7" style="58" bestFit="1" customWidth="1"/>
    <col min="10756" max="10756" width="10" style="58" customWidth="1"/>
    <col min="10757" max="10757" width="5.28515625" style="58" bestFit="1" customWidth="1"/>
    <col min="10758" max="10758" width="55" style="58" customWidth="1"/>
    <col min="10759" max="10759" width="17" style="58" bestFit="1" customWidth="1"/>
    <col min="10760" max="10760" width="19.140625" style="58" customWidth="1"/>
    <col min="10761" max="10761" width="19.42578125" style="58" customWidth="1"/>
    <col min="10762" max="10766" width="15.140625" style="58" customWidth="1"/>
    <col min="10767" max="10769" width="0" style="58" hidden="1" customWidth="1"/>
    <col min="10770" max="10771" width="10.7109375" style="58" bestFit="1" customWidth="1"/>
    <col min="10772" max="10772" width="10.28515625" style="58" bestFit="1" customWidth="1"/>
    <col min="10773" max="10773" width="11.85546875" style="58" bestFit="1" customWidth="1"/>
    <col min="10774" max="10774" width="15.42578125" style="58" customWidth="1"/>
    <col min="10775" max="11010" width="9.140625" style="58"/>
    <col min="11011" max="11011" width="7" style="58" bestFit="1" customWidth="1"/>
    <col min="11012" max="11012" width="10" style="58" customWidth="1"/>
    <col min="11013" max="11013" width="5.28515625" style="58" bestFit="1" customWidth="1"/>
    <col min="11014" max="11014" width="55" style="58" customWidth="1"/>
    <col min="11015" max="11015" width="17" style="58" bestFit="1" customWidth="1"/>
    <col min="11016" max="11016" width="19.140625" style="58" customWidth="1"/>
    <col min="11017" max="11017" width="19.42578125" style="58" customWidth="1"/>
    <col min="11018" max="11022" width="15.140625" style="58" customWidth="1"/>
    <col min="11023" max="11025" width="0" style="58" hidden="1" customWidth="1"/>
    <col min="11026" max="11027" width="10.7109375" style="58" bestFit="1" customWidth="1"/>
    <col min="11028" max="11028" width="10.28515625" style="58" bestFit="1" customWidth="1"/>
    <col min="11029" max="11029" width="11.85546875" style="58" bestFit="1" customWidth="1"/>
    <col min="11030" max="11030" width="15.42578125" style="58" customWidth="1"/>
    <col min="11031" max="11266" width="9.140625" style="58"/>
    <col min="11267" max="11267" width="7" style="58" bestFit="1" customWidth="1"/>
    <col min="11268" max="11268" width="10" style="58" customWidth="1"/>
    <col min="11269" max="11269" width="5.28515625" style="58" bestFit="1" customWidth="1"/>
    <col min="11270" max="11270" width="55" style="58" customWidth="1"/>
    <col min="11271" max="11271" width="17" style="58" bestFit="1" customWidth="1"/>
    <col min="11272" max="11272" width="19.140625" style="58" customWidth="1"/>
    <col min="11273" max="11273" width="19.42578125" style="58" customWidth="1"/>
    <col min="11274" max="11278" width="15.140625" style="58" customWidth="1"/>
    <col min="11279" max="11281" width="0" style="58" hidden="1" customWidth="1"/>
    <col min="11282" max="11283" width="10.7109375" style="58" bestFit="1" customWidth="1"/>
    <col min="11284" max="11284" width="10.28515625" style="58" bestFit="1" customWidth="1"/>
    <col min="11285" max="11285" width="11.85546875" style="58" bestFit="1" customWidth="1"/>
    <col min="11286" max="11286" width="15.42578125" style="58" customWidth="1"/>
    <col min="11287" max="11522" width="9.140625" style="58"/>
    <col min="11523" max="11523" width="7" style="58" bestFit="1" customWidth="1"/>
    <col min="11524" max="11524" width="10" style="58" customWidth="1"/>
    <col min="11525" max="11525" width="5.28515625" style="58" bestFit="1" customWidth="1"/>
    <col min="11526" max="11526" width="55" style="58" customWidth="1"/>
    <col min="11527" max="11527" width="17" style="58" bestFit="1" customWidth="1"/>
    <col min="11528" max="11528" width="19.140625" style="58" customWidth="1"/>
    <col min="11529" max="11529" width="19.42578125" style="58" customWidth="1"/>
    <col min="11530" max="11534" width="15.140625" style="58" customWidth="1"/>
    <col min="11535" max="11537" width="0" style="58" hidden="1" customWidth="1"/>
    <col min="11538" max="11539" width="10.7109375" style="58" bestFit="1" customWidth="1"/>
    <col min="11540" max="11540" width="10.28515625" style="58" bestFit="1" customWidth="1"/>
    <col min="11541" max="11541" width="11.85546875" style="58" bestFit="1" customWidth="1"/>
    <col min="11542" max="11542" width="15.42578125" style="58" customWidth="1"/>
    <col min="11543" max="11778" width="9.140625" style="58"/>
    <col min="11779" max="11779" width="7" style="58" bestFit="1" customWidth="1"/>
    <col min="11780" max="11780" width="10" style="58" customWidth="1"/>
    <col min="11781" max="11781" width="5.28515625" style="58" bestFit="1" customWidth="1"/>
    <col min="11782" max="11782" width="55" style="58" customWidth="1"/>
    <col min="11783" max="11783" width="17" style="58" bestFit="1" customWidth="1"/>
    <col min="11784" max="11784" width="19.140625" style="58" customWidth="1"/>
    <col min="11785" max="11785" width="19.42578125" style="58" customWidth="1"/>
    <col min="11786" max="11790" width="15.140625" style="58" customWidth="1"/>
    <col min="11791" max="11793" width="0" style="58" hidden="1" customWidth="1"/>
    <col min="11794" max="11795" width="10.7109375" style="58" bestFit="1" customWidth="1"/>
    <col min="11796" max="11796" width="10.28515625" style="58" bestFit="1" customWidth="1"/>
    <col min="11797" max="11797" width="11.85546875" style="58" bestFit="1" customWidth="1"/>
    <col min="11798" max="11798" width="15.42578125" style="58" customWidth="1"/>
    <col min="11799" max="12034" width="9.140625" style="58"/>
    <col min="12035" max="12035" width="7" style="58" bestFit="1" customWidth="1"/>
    <col min="12036" max="12036" width="10" style="58" customWidth="1"/>
    <col min="12037" max="12037" width="5.28515625" style="58" bestFit="1" customWidth="1"/>
    <col min="12038" max="12038" width="55" style="58" customWidth="1"/>
    <col min="12039" max="12039" width="17" style="58" bestFit="1" customWidth="1"/>
    <col min="12040" max="12040" width="19.140625" style="58" customWidth="1"/>
    <col min="12041" max="12041" width="19.42578125" style="58" customWidth="1"/>
    <col min="12042" max="12046" width="15.140625" style="58" customWidth="1"/>
    <col min="12047" max="12049" width="0" style="58" hidden="1" customWidth="1"/>
    <col min="12050" max="12051" width="10.7109375" style="58" bestFit="1" customWidth="1"/>
    <col min="12052" max="12052" width="10.28515625" style="58" bestFit="1" customWidth="1"/>
    <col min="12053" max="12053" width="11.85546875" style="58" bestFit="1" customWidth="1"/>
    <col min="12054" max="12054" width="15.42578125" style="58" customWidth="1"/>
    <col min="12055" max="12290" width="9.140625" style="58"/>
    <col min="12291" max="12291" width="7" style="58" bestFit="1" customWidth="1"/>
    <col min="12292" max="12292" width="10" style="58" customWidth="1"/>
    <col min="12293" max="12293" width="5.28515625" style="58" bestFit="1" customWidth="1"/>
    <col min="12294" max="12294" width="55" style="58" customWidth="1"/>
    <col min="12295" max="12295" width="17" style="58" bestFit="1" customWidth="1"/>
    <col min="12296" max="12296" width="19.140625" style="58" customWidth="1"/>
    <col min="12297" max="12297" width="19.42578125" style="58" customWidth="1"/>
    <col min="12298" max="12302" width="15.140625" style="58" customWidth="1"/>
    <col min="12303" max="12305" width="0" style="58" hidden="1" customWidth="1"/>
    <col min="12306" max="12307" width="10.7109375" style="58" bestFit="1" customWidth="1"/>
    <col min="12308" max="12308" width="10.28515625" style="58" bestFit="1" customWidth="1"/>
    <col min="12309" max="12309" width="11.85546875" style="58" bestFit="1" customWidth="1"/>
    <col min="12310" max="12310" width="15.42578125" style="58" customWidth="1"/>
    <col min="12311" max="12546" width="9.140625" style="58"/>
    <col min="12547" max="12547" width="7" style="58" bestFit="1" customWidth="1"/>
    <col min="12548" max="12548" width="10" style="58" customWidth="1"/>
    <col min="12549" max="12549" width="5.28515625" style="58" bestFit="1" customWidth="1"/>
    <col min="12550" max="12550" width="55" style="58" customWidth="1"/>
    <col min="12551" max="12551" width="17" style="58" bestFit="1" customWidth="1"/>
    <col min="12552" max="12552" width="19.140625" style="58" customWidth="1"/>
    <col min="12553" max="12553" width="19.42578125" style="58" customWidth="1"/>
    <col min="12554" max="12558" width="15.140625" style="58" customWidth="1"/>
    <col min="12559" max="12561" width="0" style="58" hidden="1" customWidth="1"/>
    <col min="12562" max="12563" width="10.7109375" style="58" bestFit="1" customWidth="1"/>
    <col min="12564" max="12564" width="10.28515625" style="58" bestFit="1" customWidth="1"/>
    <col min="12565" max="12565" width="11.85546875" style="58" bestFit="1" customWidth="1"/>
    <col min="12566" max="12566" width="15.42578125" style="58" customWidth="1"/>
    <col min="12567" max="12802" width="9.140625" style="58"/>
    <col min="12803" max="12803" width="7" style="58" bestFit="1" customWidth="1"/>
    <col min="12804" max="12804" width="10" style="58" customWidth="1"/>
    <col min="12805" max="12805" width="5.28515625" style="58" bestFit="1" customWidth="1"/>
    <col min="12806" max="12806" width="55" style="58" customWidth="1"/>
    <col min="12807" max="12807" width="17" style="58" bestFit="1" customWidth="1"/>
    <col min="12808" max="12808" width="19.140625" style="58" customWidth="1"/>
    <col min="12809" max="12809" width="19.42578125" style="58" customWidth="1"/>
    <col min="12810" max="12814" width="15.140625" style="58" customWidth="1"/>
    <col min="12815" max="12817" width="0" style="58" hidden="1" customWidth="1"/>
    <col min="12818" max="12819" width="10.7109375" style="58" bestFit="1" customWidth="1"/>
    <col min="12820" max="12820" width="10.28515625" style="58" bestFit="1" customWidth="1"/>
    <col min="12821" max="12821" width="11.85546875" style="58" bestFit="1" customWidth="1"/>
    <col min="12822" max="12822" width="15.42578125" style="58" customWidth="1"/>
    <col min="12823" max="13058" width="9.140625" style="58"/>
    <col min="13059" max="13059" width="7" style="58" bestFit="1" customWidth="1"/>
    <col min="13060" max="13060" width="10" style="58" customWidth="1"/>
    <col min="13061" max="13061" width="5.28515625" style="58" bestFit="1" customWidth="1"/>
    <col min="13062" max="13062" width="55" style="58" customWidth="1"/>
    <col min="13063" max="13063" width="17" style="58" bestFit="1" customWidth="1"/>
    <col min="13064" max="13064" width="19.140625" style="58" customWidth="1"/>
    <col min="13065" max="13065" width="19.42578125" style="58" customWidth="1"/>
    <col min="13066" max="13070" width="15.140625" style="58" customWidth="1"/>
    <col min="13071" max="13073" width="0" style="58" hidden="1" customWidth="1"/>
    <col min="13074" max="13075" width="10.7109375" style="58" bestFit="1" customWidth="1"/>
    <col min="13076" max="13076" width="10.28515625" style="58" bestFit="1" customWidth="1"/>
    <col min="13077" max="13077" width="11.85546875" style="58" bestFit="1" customWidth="1"/>
    <col min="13078" max="13078" width="15.42578125" style="58" customWidth="1"/>
    <col min="13079" max="13314" width="9.140625" style="58"/>
    <col min="13315" max="13315" width="7" style="58" bestFit="1" customWidth="1"/>
    <col min="13316" max="13316" width="10" style="58" customWidth="1"/>
    <col min="13317" max="13317" width="5.28515625" style="58" bestFit="1" customWidth="1"/>
    <col min="13318" max="13318" width="55" style="58" customWidth="1"/>
    <col min="13319" max="13319" width="17" style="58" bestFit="1" customWidth="1"/>
    <col min="13320" max="13320" width="19.140625" style="58" customWidth="1"/>
    <col min="13321" max="13321" width="19.42578125" style="58" customWidth="1"/>
    <col min="13322" max="13326" width="15.140625" style="58" customWidth="1"/>
    <col min="13327" max="13329" width="0" style="58" hidden="1" customWidth="1"/>
    <col min="13330" max="13331" width="10.7109375" style="58" bestFit="1" customWidth="1"/>
    <col min="13332" max="13332" width="10.28515625" style="58" bestFit="1" customWidth="1"/>
    <col min="13333" max="13333" width="11.85546875" style="58" bestFit="1" customWidth="1"/>
    <col min="13334" max="13334" width="15.42578125" style="58" customWidth="1"/>
    <col min="13335" max="13570" width="9.140625" style="58"/>
    <col min="13571" max="13571" width="7" style="58" bestFit="1" customWidth="1"/>
    <col min="13572" max="13572" width="10" style="58" customWidth="1"/>
    <col min="13573" max="13573" width="5.28515625" style="58" bestFit="1" customWidth="1"/>
    <col min="13574" max="13574" width="55" style="58" customWidth="1"/>
    <col min="13575" max="13575" width="17" style="58" bestFit="1" customWidth="1"/>
    <col min="13576" max="13576" width="19.140625" style="58" customWidth="1"/>
    <col min="13577" max="13577" width="19.42578125" style="58" customWidth="1"/>
    <col min="13578" max="13582" width="15.140625" style="58" customWidth="1"/>
    <col min="13583" max="13585" width="0" style="58" hidden="1" customWidth="1"/>
    <col min="13586" max="13587" width="10.7109375" style="58" bestFit="1" customWidth="1"/>
    <col min="13588" max="13588" width="10.28515625" style="58" bestFit="1" customWidth="1"/>
    <col min="13589" max="13589" width="11.85546875" style="58" bestFit="1" customWidth="1"/>
    <col min="13590" max="13590" width="15.42578125" style="58" customWidth="1"/>
    <col min="13591" max="13826" width="9.140625" style="58"/>
    <col min="13827" max="13827" width="7" style="58" bestFit="1" customWidth="1"/>
    <col min="13828" max="13828" width="10" style="58" customWidth="1"/>
    <col min="13829" max="13829" width="5.28515625" style="58" bestFit="1" customWidth="1"/>
    <col min="13830" max="13830" width="55" style="58" customWidth="1"/>
    <col min="13831" max="13831" width="17" style="58" bestFit="1" customWidth="1"/>
    <col min="13832" max="13832" width="19.140625" style="58" customWidth="1"/>
    <col min="13833" max="13833" width="19.42578125" style="58" customWidth="1"/>
    <col min="13834" max="13838" width="15.140625" style="58" customWidth="1"/>
    <col min="13839" max="13841" width="0" style="58" hidden="1" customWidth="1"/>
    <col min="13842" max="13843" width="10.7109375" style="58" bestFit="1" customWidth="1"/>
    <col min="13844" max="13844" width="10.28515625" style="58" bestFit="1" customWidth="1"/>
    <col min="13845" max="13845" width="11.85546875" style="58" bestFit="1" customWidth="1"/>
    <col min="13846" max="13846" width="15.42578125" style="58" customWidth="1"/>
    <col min="13847" max="14082" width="9.140625" style="58"/>
    <col min="14083" max="14083" width="7" style="58" bestFit="1" customWidth="1"/>
    <col min="14084" max="14084" width="10" style="58" customWidth="1"/>
    <col min="14085" max="14085" width="5.28515625" style="58" bestFit="1" customWidth="1"/>
    <col min="14086" max="14086" width="55" style="58" customWidth="1"/>
    <col min="14087" max="14087" width="17" style="58" bestFit="1" customWidth="1"/>
    <col min="14088" max="14088" width="19.140625" style="58" customWidth="1"/>
    <col min="14089" max="14089" width="19.42578125" style="58" customWidth="1"/>
    <col min="14090" max="14094" width="15.140625" style="58" customWidth="1"/>
    <col min="14095" max="14097" width="0" style="58" hidden="1" customWidth="1"/>
    <col min="14098" max="14099" width="10.7109375" style="58" bestFit="1" customWidth="1"/>
    <col min="14100" max="14100" width="10.28515625" style="58" bestFit="1" customWidth="1"/>
    <col min="14101" max="14101" width="11.85546875" style="58" bestFit="1" customWidth="1"/>
    <col min="14102" max="14102" width="15.42578125" style="58" customWidth="1"/>
    <col min="14103" max="14338" width="9.140625" style="58"/>
    <col min="14339" max="14339" width="7" style="58" bestFit="1" customWidth="1"/>
    <col min="14340" max="14340" width="10" style="58" customWidth="1"/>
    <col min="14341" max="14341" width="5.28515625" style="58" bestFit="1" customWidth="1"/>
    <col min="14342" max="14342" width="55" style="58" customWidth="1"/>
    <col min="14343" max="14343" width="17" style="58" bestFit="1" customWidth="1"/>
    <col min="14344" max="14344" width="19.140625" style="58" customWidth="1"/>
    <col min="14345" max="14345" width="19.42578125" style="58" customWidth="1"/>
    <col min="14346" max="14350" width="15.140625" style="58" customWidth="1"/>
    <col min="14351" max="14353" width="0" style="58" hidden="1" customWidth="1"/>
    <col min="14354" max="14355" width="10.7109375" style="58" bestFit="1" customWidth="1"/>
    <col min="14356" max="14356" width="10.28515625" style="58" bestFit="1" customWidth="1"/>
    <col min="14357" max="14357" width="11.85546875" style="58" bestFit="1" customWidth="1"/>
    <col min="14358" max="14358" width="15.42578125" style="58" customWidth="1"/>
    <col min="14359" max="14594" width="9.140625" style="58"/>
    <col min="14595" max="14595" width="7" style="58" bestFit="1" customWidth="1"/>
    <col min="14596" max="14596" width="10" style="58" customWidth="1"/>
    <col min="14597" max="14597" width="5.28515625" style="58" bestFit="1" customWidth="1"/>
    <col min="14598" max="14598" width="55" style="58" customWidth="1"/>
    <col min="14599" max="14599" width="17" style="58" bestFit="1" customWidth="1"/>
    <col min="14600" max="14600" width="19.140625" style="58" customWidth="1"/>
    <col min="14601" max="14601" width="19.42578125" style="58" customWidth="1"/>
    <col min="14602" max="14606" width="15.140625" style="58" customWidth="1"/>
    <col min="14607" max="14609" width="0" style="58" hidden="1" customWidth="1"/>
    <col min="14610" max="14611" width="10.7109375" style="58" bestFit="1" customWidth="1"/>
    <col min="14612" max="14612" width="10.28515625" style="58" bestFit="1" customWidth="1"/>
    <col min="14613" max="14613" width="11.85546875" style="58" bestFit="1" customWidth="1"/>
    <col min="14614" max="14614" width="15.42578125" style="58" customWidth="1"/>
    <col min="14615" max="14850" width="9.140625" style="58"/>
    <col min="14851" max="14851" width="7" style="58" bestFit="1" customWidth="1"/>
    <col min="14852" max="14852" width="10" style="58" customWidth="1"/>
    <col min="14853" max="14853" width="5.28515625" style="58" bestFit="1" customWidth="1"/>
    <col min="14854" max="14854" width="55" style="58" customWidth="1"/>
    <col min="14855" max="14855" width="17" style="58" bestFit="1" customWidth="1"/>
    <col min="14856" max="14856" width="19.140625" style="58" customWidth="1"/>
    <col min="14857" max="14857" width="19.42578125" style="58" customWidth="1"/>
    <col min="14858" max="14862" width="15.140625" style="58" customWidth="1"/>
    <col min="14863" max="14865" width="0" style="58" hidden="1" customWidth="1"/>
    <col min="14866" max="14867" width="10.7109375" style="58" bestFit="1" customWidth="1"/>
    <col min="14868" max="14868" width="10.28515625" style="58" bestFit="1" customWidth="1"/>
    <col min="14869" max="14869" width="11.85546875" style="58" bestFit="1" customWidth="1"/>
    <col min="14870" max="14870" width="15.42578125" style="58" customWidth="1"/>
    <col min="14871" max="15106" width="9.140625" style="58"/>
    <col min="15107" max="15107" width="7" style="58" bestFit="1" customWidth="1"/>
    <col min="15108" max="15108" width="10" style="58" customWidth="1"/>
    <col min="15109" max="15109" width="5.28515625" style="58" bestFit="1" customWidth="1"/>
    <col min="15110" max="15110" width="55" style="58" customWidth="1"/>
    <col min="15111" max="15111" width="17" style="58" bestFit="1" customWidth="1"/>
    <col min="15112" max="15112" width="19.140625" style="58" customWidth="1"/>
    <col min="15113" max="15113" width="19.42578125" style="58" customWidth="1"/>
    <col min="15114" max="15118" width="15.140625" style="58" customWidth="1"/>
    <col min="15119" max="15121" width="0" style="58" hidden="1" customWidth="1"/>
    <col min="15122" max="15123" width="10.7109375" style="58" bestFit="1" customWidth="1"/>
    <col min="15124" max="15124" width="10.28515625" style="58" bestFit="1" customWidth="1"/>
    <col min="15125" max="15125" width="11.85546875" style="58" bestFit="1" customWidth="1"/>
    <col min="15126" max="15126" width="15.42578125" style="58" customWidth="1"/>
    <col min="15127" max="15362" width="9.140625" style="58"/>
    <col min="15363" max="15363" width="7" style="58" bestFit="1" customWidth="1"/>
    <col min="15364" max="15364" width="10" style="58" customWidth="1"/>
    <col min="15365" max="15365" width="5.28515625" style="58" bestFit="1" customWidth="1"/>
    <col min="15366" max="15366" width="55" style="58" customWidth="1"/>
    <col min="15367" max="15367" width="17" style="58" bestFit="1" customWidth="1"/>
    <col min="15368" max="15368" width="19.140625" style="58" customWidth="1"/>
    <col min="15369" max="15369" width="19.42578125" style="58" customWidth="1"/>
    <col min="15370" max="15374" width="15.140625" style="58" customWidth="1"/>
    <col min="15375" max="15377" width="0" style="58" hidden="1" customWidth="1"/>
    <col min="15378" max="15379" width="10.7109375" style="58" bestFit="1" customWidth="1"/>
    <col min="15380" max="15380" width="10.28515625" style="58" bestFit="1" customWidth="1"/>
    <col min="15381" max="15381" width="11.85546875" style="58" bestFit="1" customWidth="1"/>
    <col min="15382" max="15382" width="15.42578125" style="58" customWidth="1"/>
    <col min="15383" max="15618" width="9.140625" style="58"/>
    <col min="15619" max="15619" width="7" style="58" bestFit="1" customWidth="1"/>
    <col min="15620" max="15620" width="10" style="58" customWidth="1"/>
    <col min="15621" max="15621" width="5.28515625" style="58" bestFit="1" customWidth="1"/>
    <col min="15622" max="15622" width="55" style="58" customWidth="1"/>
    <col min="15623" max="15623" width="17" style="58" bestFit="1" customWidth="1"/>
    <col min="15624" max="15624" width="19.140625" style="58" customWidth="1"/>
    <col min="15625" max="15625" width="19.42578125" style="58" customWidth="1"/>
    <col min="15626" max="15630" width="15.140625" style="58" customWidth="1"/>
    <col min="15631" max="15633" width="0" style="58" hidden="1" customWidth="1"/>
    <col min="15634" max="15635" width="10.7109375" style="58" bestFit="1" customWidth="1"/>
    <col min="15636" max="15636" width="10.28515625" style="58" bestFit="1" customWidth="1"/>
    <col min="15637" max="15637" width="11.85546875" style="58" bestFit="1" customWidth="1"/>
    <col min="15638" max="15638" width="15.42578125" style="58" customWidth="1"/>
    <col min="15639" max="15874" width="9.140625" style="58"/>
    <col min="15875" max="15875" width="7" style="58" bestFit="1" customWidth="1"/>
    <col min="15876" max="15876" width="10" style="58" customWidth="1"/>
    <col min="15877" max="15877" width="5.28515625" style="58" bestFit="1" customWidth="1"/>
    <col min="15878" max="15878" width="55" style="58" customWidth="1"/>
    <col min="15879" max="15879" width="17" style="58" bestFit="1" customWidth="1"/>
    <col min="15880" max="15880" width="19.140625" style="58" customWidth="1"/>
    <col min="15881" max="15881" width="19.42578125" style="58" customWidth="1"/>
    <col min="15882" max="15886" width="15.140625" style="58" customWidth="1"/>
    <col min="15887" max="15889" width="0" style="58" hidden="1" customWidth="1"/>
    <col min="15890" max="15891" width="10.7109375" style="58" bestFit="1" customWidth="1"/>
    <col min="15892" max="15892" width="10.28515625" style="58" bestFit="1" customWidth="1"/>
    <col min="15893" max="15893" width="11.85546875" style="58" bestFit="1" customWidth="1"/>
    <col min="15894" max="15894" width="15.42578125" style="58" customWidth="1"/>
    <col min="15895" max="16130" width="9.140625" style="58"/>
    <col min="16131" max="16131" width="7" style="58" bestFit="1" customWidth="1"/>
    <col min="16132" max="16132" width="10" style="58" customWidth="1"/>
    <col min="16133" max="16133" width="5.28515625" style="58" bestFit="1" customWidth="1"/>
    <col min="16134" max="16134" width="55" style="58" customWidth="1"/>
    <col min="16135" max="16135" width="17" style="58" bestFit="1" customWidth="1"/>
    <col min="16136" max="16136" width="19.140625" style="58" customWidth="1"/>
    <col min="16137" max="16137" width="19.42578125" style="58" customWidth="1"/>
    <col min="16138" max="16142" width="15.140625" style="58" customWidth="1"/>
    <col min="16143" max="16145" width="0" style="58" hidden="1" customWidth="1"/>
    <col min="16146" max="16147" width="10.7109375" style="58" bestFit="1" customWidth="1"/>
    <col min="16148" max="16148" width="10.28515625" style="58" bestFit="1" customWidth="1"/>
    <col min="16149" max="16149" width="11.85546875" style="58" bestFit="1" customWidth="1"/>
    <col min="16150" max="16150" width="15.42578125" style="58" customWidth="1"/>
    <col min="16151" max="16384" width="9.140625" style="58"/>
  </cols>
  <sheetData>
    <row r="1" spans="1:17" ht="31.5" customHeight="1" x14ac:dyDescent="0.25">
      <c r="A1" s="818" t="s">
        <v>0</v>
      </c>
      <c r="B1" s="818"/>
      <c r="C1" s="818"/>
      <c r="D1" s="818"/>
      <c r="E1" s="818"/>
      <c r="F1" s="818"/>
      <c r="G1" s="818"/>
      <c r="H1" s="818"/>
      <c r="I1" s="818"/>
      <c r="J1" s="260"/>
    </row>
    <row r="2" spans="1:17" ht="31.5" customHeight="1" x14ac:dyDescent="0.25">
      <c r="A2" s="818" t="s">
        <v>1</v>
      </c>
      <c r="B2" s="818"/>
      <c r="C2" s="818"/>
      <c r="D2" s="818"/>
      <c r="E2" s="818"/>
      <c r="F2" s="818"/>
      <c r="G2" s="818"/>
      <c r="H2" s="818"/>
      <c r="I2" s="818"/>
      <c r="J2" s="260"/>
    </row>
    <row r="3" spans="1:17" ht="31.5" customHeight="1" x14ac:dyDescent="0.25">
      <c r="A3" s="818" t="s">
        <v>378</v>
      </c>
      <c r="B3" s="818"/>
      <c r="C3" s="818"/>
      <c r="D3" s="818"/>
      <c r="E3" s="818"/>
      <c r="F3" s="818"/>
      <c r="G3" s="818"/>
      <c r="H3" s="818"/>
      <c r="I3" s="818"/>
      <c r="J3" s="260"/>
    </row>
    <row r="4" spans="1:17" ht="18.75" customHeight="1" x14ac:dyDescent="0.25">
      <c r="A4" s="261"/>
      <c r="B4" s="261"/>
      <c r="C4" s="261"/>
      <c r="D4" s="30"/>
      <c r="E4" s="30"/>
      <c r="F4" s="262"/>
      <c r="G4" s="262"/>
      <c r="H4" s="30"/>
      <c r="I4" s="263"/>
      <c r="J4" s="263"/>
    </row>
    <row r="5" spans="1:17" ht="15.75" customHeight="1" x14ac:dyDescent="0.25">
      <c r="A5" s="819" t="s">
        <v>2</v>
      </c>
      <c r="B5" s="820"/>
      <c r="C5" s="820"/>
      <c r="D5" s="820"/>
      <c r="E5" s="820"/>
      <c r="F5" s="820"/>
      <c r="G5" s="820"/>
      <c r="H5" s="820"/>
      <c r="I5" s="820"/>
      <c r="J5" s="58"/>
    </row>
    <row r="6" spans="1:17" s="62" customFormat="1" ht="57" x14ac:dyDescent="0.25">
      <c r="A6" s="66" t="s">
        <v>3</v>
      </c>
      <c r="B6" s="66" t="s">
        <v>4</v>
      </c>
      <c r="C6" s="67" t="s">
        <v>5</v>
      </c>
      <c r="D6" s="68" t="s">
        <v>6</v>
      </c>
      <c r="E6" s="264" t="s">
        <v>622</v>
      </c>
      <c r="F6" s="32" t="s">
        <v>603</v>
      </c>
      <c r="G6" s="31" t="s">
        <v>604</v>
      </c>
      <c r="H6" s="265" t="s">
        <v>623</v>
      </c>
      <c r="I6" s="266" t="s">
        <v>544</v>
      </c>
      <c r="J6" s="266" t="s">
        <v>544</v>
      </c>
      <c r="K6" s="58"/>
      <c r="L6" s="58"/>
      <c r="M6" s="58"/>
      <c r="N6" s="58"/>
      <c r="O6" s="58"/>
      <c r="P6" s="58"/>
      <c r="Q6" s="58"/>
    </row>
    <row r="7" spans="1:17" s="62" customFormat="1" x14ac:dyDescent="0.25">
      <c r="A7" s="814">
        <v>1</v>
      </c>
      <c r="B7" s="814"/>
      <c r="C7" s="814"/>
      <c r="D7" s="814"/>
      <c r="E7" s="36">
        <v>2</v>
      </c>
      <c r="F7" s="267">
        <v>3</v>
      </c>
      <c r="G7" s="267">
        <v>4</v>
      </c>
      <c r="H7" s="38">
        <v>5</v>
      </c>
      <c r="I7" s="268" t="s">
        <v>543</v>
      </c>
      <c r="J7" s="268" t="s">
        <v>548</v>
      </c>
      <c r="K7" s="58"/>
      <c r="L7" s="58"/>
      <c r="M7" s="58"/>
      <c r="N7" s="58"/>
      <c r="O7" s="58"/>
      <c r="P7" s="58"/>
      <c r="Q7" s="58"/>
    </row>
    <row r="8" spans="1:17" s="65" customFormat="1" ht="14.25" x14ac:dyDescent="0.25">
      <c r="A8" s="269">
        <v>6</v>
      </c>
      <c r="B8" s="270"/>
      <c r="C8" s="269"/>
      <c r="D8" s="271" t="s">
        <v>7</v>
      </c>
      <c r="E8" s="272">
        <f>SUM(E9,E16,E37,E40,E46,E53,E58,E66,E72,E76,E82)</f>
        <v>5100997.3000000007</v>
      </c>
      <c r="F8" s="272">
        <f t="shared" ref="F8:H8" si="0">SUM(F9,F16,F37,F40,F46,F53,F58,F66,F72,F76,F82)</f>
        <v>4702255.63</v>
      </c>
      <c r="G8" s="272">
        <f t="shared" si="0"/>
        <v>5291900.84</v>
      </c>
      <c r="H8" s="272">
        <f t="shared" si="0"/>
        <v>5341726.1499999994</v>
      </c>
      <c r="I8" s="586">
        <f>IFERROR(H8/F8*100,H8)</f>
        <v>113.59922918524954</v>
      </c>
      <c r="J8" s="586">
        <f>IFERROR(H8/G8*100,H8)</f>
        <v>100.94153899527716</v>
      </c>
      <c r="K8" s="273"/>
      <c r="L8" s="64"/>
      <c r="M8" s="64"/>
      <c r="N8" s="64"/>
      <c r="O8" s="64"/>
      <c r="P8" s="64"/>
      <c r="Q8" s="64"/>
    </row>
    <row r="9" spans="1:17" s="65" customFormat="1" ht="28.5" x14ac:dyDescent="0.25">
      <c r="A9" s="103"/>
      <c r="B9" s="83">
        <v>67</v>
      </c>
      <c r="C9" s="274"/>
      <c r="D9" s="275" t="s">
        <v>8</v>
      </c>
      <c r="E9" s="86">
        <f>E10</f>
        <v>397160.43000000005</v>
      </c>
      <c r="F9" s="86">
        <f>F10</f>
        <v>369361.73000000004</v>
      </c>
      <c r="G9" s="86">
        <f>G10</f>
        <v>608264.02</v>
      </c>
      <c r="H9" s="86">
        <f>H10</f>
        <v>618103.51</v>
      </c>
      <c r="I9" s="587">
        <f t="shared" ref="I9:I72" si="1">IFERROR(H9/F9*100,H9)</f>
        <v>167.34367959560942</v>
      </c>
      <c r="J9" s="587">
        <f t="shared" ref="J9:J72" si="2">IFERROR(H9/G9*100,H9)</f>
        <v>101.61763472381615</v>
      </c>
      <c r="K9" s="64"/>
      <c r="L9" s="64"/>
      <c r="M9" s="64"/>
      <c r="N9" s="64"/>
      <c r="O9" s="64"/>
      <c r="P9" s="64"/>
      <c r="Q9" s="64"/>
    </row>
    <row r="10" spans="1:17" s="65" customFormat="1" ht="28.5" x14ac:dyDescent="0.25">
      <c r="A10" s="103"/>
      <c r="B10" s="175" t="s">
        <v>9</v>
      </c>
      <c r="C10" s="277"/>
      <c r="D10" s="278" t="s">
        <v>10</v>
      </c>
      <c r="E10" s="279">
        <f>SUM(E11,E13)</f>
        <v>397160.43000000005</v>
      </c>
      <c r="F10" s="279">
        <f>SUM(F11,F13)</f>
        <v>369361.73000000004</v>
      </c>
      <c r="G10" s="279">
        <f>SUM(G11,G13)</f>
        <v>608264.02</v>
      </c>
      <c r="H10" s="279">
        <f>SUM(H11,H13)</f>
        <v>618103.51</v>
      </c>
      <c r="I10" s="588">
        <f t="shared" si="1"/>
        <v>167.34367959560942</v>
      </c>
      <c r="J10" s="588">
        <f t="shared" si="2"/>
        <v>101.61763472381615</v>
      </c>
      <c r="K10" s="64"/>
      <c r="L10" s="64"/>
      <c r="M10" s="64"/>
      <c r="N10" s="64"/>
      <c r="O10" s="64"/>
      <c r="P10" s="64"/>
      <c r="Q10" s="64"/>
    </row>
    <row r="11" spans="1:17" s="65" customFormat="1" ht="15" customHeight="1" x14ac:dyDescent="0.25">
      <c r="A11" s="103"/>
      <c r="B11" s="175" t="s">
        <v>11</v>
      </c>
      <c r="C11" s="277"/>
      <c r="D11" s="278" t="s">
        <v>12</v>
      </c>
      <c r="E11" s="279">
        <f>E12</f>
        <v>141650.92000000001</v>
      </c>
      <c r="F11" s="279">
        <f>F12</f>
        <v>103638.02</v>
      </c>
      <c r="G11" s="279">
        <f>G12</f>
        <v>342988.02</v>
      </c>
      <c r="H11" s="279">
        <f>H12</f>
        <v>352987.51</v>
      </c>
      <c r="I11" s="588">
        <f t="shared" si="1"/>
        <v>340.59653976407498</v>
      </c>
      <c r="J11" s="588">
        <f t="shared" si="2"/>
        <v>102.91540503368017</v>
      </c>
      <c r="K11" s="64"/>
      <c r="L11" s="64"/>
      <c r="M11" s="64"/>
      <c r="N11" s="64"/>
      <c r="O11" s="64"/>
      <c r="P11" s="64"/>
      <c r="Q11" s="64"/>
    </row>
    <row r="12" spans="1:17" s="65" customFormat="1" ht="15" customHeight="1" x14ac:dyDescent="0.25">
      <c r="A12" s="103"/>
      <c r="B12" s="177" t="s">
        <v>455</v>
      </c>
      <c r="C12" s="281"/>
      <c r="D12" s="282" t="s">
        <v>12</v>
      </c>
      <c r="E12" s="283">
        <v>141650.92000000001</v>
      </c>
      <c r="F12" s="283">
        <v>103638.02</v>
      </c>
      <c r="G12" s="283">
        <v>342988.02</v>
      </c>
      <c r="H12" s="283">
        <v>352987.51</v>
      </c>
      <c r="I12" s="589">
        <f t="shared" si="1"/>
        <v>340.59653976407498</v>
      </c>
      <c r="J12" s="589">
        <f t="shared" si="2"/>
        <v>102.91540503368017</v>
      </c>
      <c r="K12" s="64"/>
      <c r="L12" s="64"/>
      <c r="M12" s="64"/>
      <c r="N12" s="64"/>
      <c r="O12" s="64"/>
      <c r="P12" s="64"/>
      <c r="Q12" s="64"/>
    </row>
    <row r="13" spans="1:17" s="65" customFormat="1" x14ac:dyDescent="0.25">
      <c r="A13" s="103"/>
      <c r="B13" s="175" t="s">
        <v>13</v>
      </c>
      <c r="C13" s="277"/>
      <c r="D13" s="278" t="s">
        <v>14</v>
      </c>
      <c r="E13" s="279">
        <f>E14</f>
        <v>255509.51</v>
      </c>
      <c r="F13" s="279">
        <f>F14</f>
        <v>265723.71000000002</v>
      </c>
      <c r="G13" s="279">
        <f>G14</f>
        <v>265276</v>
      </c>
      <c r="H13" s="279">
        <f>H14</f>
        <v>265116</v>
      </c>
      <c r="I13" s="588">
        <f t="shared" si="1"/>
        <v>99.771300046954778</v>
      </c>
      <c r="J13" s="588">
        <f t="shared" si="2"/>
        <v>99.939685459672191</v>
      </c>
      <c r="K13" s="64"/>
      <c r="L13" s="64"/>
      <c r="M13" s="64"/>
      <c r="N13" s="64"/>
      <c r="O13" s="64"/>
      <c r="P13" s="64"/>
      <c r="Q13" s="64"/>
    </row>
    <row r="14" spans="1:17" s="65" customFormat="1" x14ac:dyDescent="0.25">
      <c r="A14" s="103"/>
      <c r="B14" s="177" t="s">
        <v>456</v>
      </c>
      <c r="C14" s="281"/>
      <c r="D14" s="282" t="s">
        <v>14</v>
      </c>
      <c r="E14" s="283">
        <v>255509.51</v>
      </c>
      <c r="F14" s="283">
        <v>265723.71000000002</v>
      </c>
      <c r="G14" s="283">
        <v>265276</v>
      </c>
      <c r="H14" s="283">
        <v>265116</v>
      </c>
      <c r="I14" s="589">
        <f t="shared" si="1"/>
        <v>99.771300046954778</v>
      </c>
      <c r="J14" s="589">
        <f t="shared" si="2"/>
        <v>99.939685459672191</v>
      </c>
      <c r="K14" s="64"/>
      <c r="L14" s="64"/>
      <c r="M14" s="64"/>
      <c r="N14" s="64"/>
      <c r="O14" s="64"/>
      <c r="P14" s="64"/>
      <c r="Q14" s="64"/>
    </row>
    <row r="15" spans="1:17" s="288" customFormat="1" x14ac:dyDescent="0.25">
      <c r="A15" s="284"/>
      <c r="B15" s="285"/>
      <c r="C15" s="138">
        <v>11</v>
      </c>
      <c r="D15" s="139" t="s">
        <v>15</v>
      </c>
      <c r="E15" s="188">
        <f>E9</f>
        <v>397160.43000000005</v>
      </c>
      <c r="F15" s="188">
        <f>F9</f>
        <v>369361.73000000004</v>
      </c>
      <c r="G15" s="188">
        <f>G9</f>
        <v>608264.02</v>
      </c>
      <c r="H15" s="188">
        <f>H9</f>
        <v>618103.51</v>
      </c>
      <c r="I15" s="590">
        <f t="shared" si="1"/>
        <v>167.34367959560942</v>
      </c>
      <c r="J15" s="590">
        <f t="shared" si="2"/>
        <v>101.61763472381615</v>
      </c>
      <c r="K15" s="287"/>
      <c r="L15" s="287"/>
      <c r="M15" s="287"/>
      <c r="N15" s="287"/>
      <c r="O15" s="287"/>
      <c r="P15" s="287"/>
      <c r="Q15" s="287"/>
    </row>
    <row r="16" spans="1:17" s="62" customFormat="1" x14ac:dyDescent="0.25">
      <c r="A16" s="100"/>
      <c r="B16" s="83">
        <v>63</v>
      </c>
      <c r="C16" s="274"/>
      <c r="D16" s="275" t="s">
        <v>16</v>
      </c>
      <c r="E16" s="86">
        <f t="shared" ref="E16:F16" si="3">SUM(E17,E22,E25,E30,E34)</f>
        <v>331632.40000000002</v>
      </c>
      <c r="F16" s="86">
        <f t="shared" si="3"/>
        <v>128013.95</v>
      </c>
      <c r="G16" s="86">
        <f>SUM(G17,G22,G25,G30,G34)</f>
        <v>514923.82999999996</v>
      </c>
      <c r="H16" s="86">
        <f>SUM(H17,H22,H25,H30,H34)</f>
        <v>309715.23</v>
      </c>
      <c r="I16" s="587">
        <f t="shared" si="1"/>
        <v>241.93865590429792</v>
      </c>
      <c r="J16" s="587">
        <f t="shared" si="2"/>
        <v>60.147775642855763</v>
      </c>
      <c r="K16" s="58"/>
      <c r="L16" s="58"/>
      <c r="M16" s="58"/>
      <c r="N16" s="58"/>
      <c r="O16" s="58"/>
      <c r="P16" s="58"/>
      <c r="Q16" s="58"/>
    </row>
    <row r="17" spans="1:17" s="62" customFormat="1" x14ac:dyDescent="0.25">
      <c r="A17" s="100"/>
      <c r="B17" s="87" t="s">
        <v>17</v>
      </c>
      <c r="C17" s="289"/>
      <c r="D17" s="290" t="s">
        <v>18</v>
      </c>
      <c r="E17" s="52">
        <f t="shared" ref="E17:G17" si="4">E18</f>
        <v>799.5</v>
      </c>
      <c r="F17" s="52">
        <f t="shared" si="4"/>
        <v>0</v>
      </c>
      <c r="G17" s="52">
        <f t="shared" si="4"/>
        <v>0</v>
      </c>
      <c r="H17" s="52">
        <f>H18</f>
        <v>0</v>
      </c>
      <c r="I17" s="591">
        <f t="shared" si="1"/>
        <v>0</v>
      </c>
      <c r="J17" s="591">
        <f t="shared" si="2"/>
        <v>0</v>
      </c>
      <c r="K17" s="58"/>
      <c r="L17" s="58"/>
      <c r="M17" s="58"/>
      <c r="N17" s="58"/>
      <c r="O17" s="58"/>
      <c r="P17" s="58"/>
      <c r="Q17" s="58"/>
    </row>
    <row r="18" spans="1:17" s="62" customFormat="1" x14ac:dyDescent="0.25">
      <c r="A18" s="103"/>
      <c r="B18" s="87" t="s">
        <v>19</v>
      </c>
      <c r="C18" s="289"/>
      <c r="D18" s="290" t="s">
        <v>20</v>
      </c>
      <c r="E18" s="52">
        <f>E20</f>
        <v>799.5</v>
      </c>
      <c r="F18" s="52">
        <f>F20</f>
        <v>0</v>
      </c>
      <c r="G18" s="52">
        <f>G19+G20</f>
        <v>0</v>
      </c>
      <c r="H18" s="52">
        <f>H19+H20</f>
        <v>0</v>
      </c>
      <c r="I18" s="591">
        <f t="shared" si="1"/>
        <v>0</v>
      </c>
      <c r="J18" s="591">
        <f t="shared" si="2"/>
        <v>0</v>
      </c>
      <c r="K18" s="58"/>
      <c r="L18" s="58"/>
      <c r="M18" s="58"/>
      <c r="N18" s="58"/>
      <c r="O18" s="58"/>
      <c r="P18" s="58"/>
      <c r="Q18" s="58"/>
    </row>
    <row r="19" spans="1:17" s="62" customFormat="1" x14ac:dyDescent="0.25">
      <c r="A19" s="103"/>
      <c r="B19" s="88" t="s">
        <v>593</v>
      </c>
      <c r="C19" s="289"/>
      <c r="D19" s="291" t="s">
        <v>594</v>
      </c>
      <c r="E19" s="52"/>
      <c r="F19" s="52"/>
      <c r="G19" s="89"/>
      <c r="H19" s="89">
        <v>0</v>
      </c>
      <c r="I19" s="585">
        <f t="shared" si="1"/>
        <v>0</v>
      </c>
      <c r="J19" s="585">
        <f t="shared" si="2"/>
        <v>0</v>
      </c>
      <c r="K19" s="58"/>
      <c r="L19" s="58"/>
      <c r="M19" s="58"/>
      <c r="N19" s="58"/>
      <c r="O19" s="58"/>
      <c r="P19" s="58"/>
      <c r="Q19" s="58"/>
    </row>
    <row r="20" spans="1:17" s="62" customFormat="1" x14ac:dyDescent="0.25">
      <c r="A20" s="103"/>
      <c r="B20" s="88" t="s">
        <v>545</v>
      </c>
      <c r="C20" s="292"/>
      <c r="D20" s="291" t="s">
        <v>546</v>
      </c>
      <c r="E20" s="89">
        <v>799.5</v>
      </c>
      <c r="F20" s="89">
        <v>0</v>
      </c>
      <c r="G20" s="89">
        <v>0</v>
      </c>
      <c r="H20" s="89">
        <v>0</v>
      </c>
      <c r="I20" s="585">
        <f t="shared" si="1"/>
        <v>0</v>
      </c>
      <c r="J20" s="585">
        <f t="shared" si="2"/>
        <v>0</v>
      </c>
      <c r="K20" s="58"/>
      <c r="L20" s="58"/>
      <c r="M20" s="58"/>
      <c r="N20" s="58"/>
      <c r="O20" s="58"/>
      <c r="P20" s="58"/>
      <c r="Q20" s="58"/>
    </row>
    <row r="21" spans="1:17" s="62" customFormat="1" x14ac:dyDescent="0.25">
      <c r="A21" s="103"/>
      <c r="B21" s="87" t="s">
        <v>21</v>
      </c>
      <c r="C21" s="289"/>
      <c r="D21" s="290" t="s">
        <v>22</v>
      </c>
      <c r="E21" s="52"/>
      <c r="F21" s="52"/>
      <c r="G21" s="52"/>
      <c r="H21" s="52"/>
      <c r="I21" s="591">
        <f t="shared" si="1"/>
        <v>0</v>
      </c>
      <c r="J21" s="591">
        <f t="shared" si="2"/>
        <v>0</v>
      </c>
      <c r="K21" s="58"/>
      <c r="L21" s="58"/>
      <c r="M21" s="58"/>
      <c r="N21" s="58"/>
      <c r="O21" s="58"/>
      <c r="P21" s="58"/>
      <c r="Q21" s="58"/>
    </row>
    <row r="22" spans="1:17" s="65" customFormat="1" ht="14.25" x14ac:dyDescent="0.25">
      <c r="A22" s="100"/>
      <c r="B22" s="92" t="s">
        <v>23</v>
      </c>
      <c r="C22" s="133"/>
      <c r="D22" s="118" t="s">
        <v>24</v>
      </c>
      <c r="E22" s="183">
        <f t="shared" ref="E22:G23" si="5">SUM(E23)</f>
        <v>0</v>
      </c>
      <c r="F22" s="183">
        <f t="shared" si="5"/>
        <v>68314.61</v>
      </c>
      <c r="G22" s="183">
        <f t="shared" si="5"/>
        <v>68314.61</v>
      </c>
      <c r="H22" s="183">
        <f t="shared" ref="H22:H23" si="6">SUM(H23)</f>
        <v>0</v>
      </c>
      <c r="I22" s="592">
        <f t="shared" si="1"/>
        <v>0</v>
      </c>
      <c r="J22" s="592">
        <f t="shared" si="2"/>
        <v>0</v>
      </c>
      <c r="K22" s="64"/>
      <c r="L22" s="64"/>
      <c r="M22" s="64"/>
      <c r="N22" s="64"/>
      <c r="O22" s="64"/>
      <c r="P22" s="64"/>
      <c r="Q22" s="64"/>
    </row>
    <row r="23" spans="1:17" s="65" customFormat="1" ht="14.25" x14ac:dyDescent="0.25">
      <c r="A23" s="100"/>
      <c r="B23" s="92" t="s">
        <v>25</v>
      </c>
      <c r="C23" s="100"/>
      <c r="D23" s="118" t="s">
        <v>26</v>
      </c>
      <c r="E23" s="183">
        <f t="shared" si="5"/>
        <v>0</v>
      </c>
      <c r="F23" s="183">
        <f t="shared" si="5"/>
        <v>68314.61</v>
      </c>
      <c r="G23" s="183">
        <f t="shared" si="5"/>
        <v>68314.61</v>
      </c>
      <c r="H23" s="183">
        <f t="shared" si="6"/>
        <v>0</v>
      </c>
      <c r="I23" s="592">
        <f t="shared" si="1"/>
        <v>0</v>
      </c>
      <c r="J23" s="592">
        <f t="shared" si="2"/>
        <v>0</v>
      </c>
      <c r="K23" s="64"/>
      <c r="L23" s="64"/>
      <c r="M23" s="64"/>
      <c r="N23" s="64"/>
      <c r="O23" s="64"/>
      <c r="P23" s="64"/>
      <c r="Q23" s="64"/>
    </row>
    <row r="24" spans="1:17" s="62" customFormat="1" x14ac:dyDescent="0.25">
      <c r="A24" s="103"/>
      <c r="B24" s="94" t="s">
        <v>457</v>
      </c>
      <c r="C24" s="103"/>
      <c r="D24" s="119" t="s">
        <v>26</v>
      </c>
      <c r="E24" s="185">
        <v>0</v>
      </c>
      <c r="F24" s="185">
        <v>68314.61</v>
      </c>
      <c r="G24" s="185">
        <v>68314.61</v>
      </c>
      <c r="H24" s="185">
        <v>0</v>
      </c>
      <c r="I24" s="593">
        <f t="shared" si="1"/>
        <v>0</v>
      </c>
      <c r="J24" s="593">
        <f t="shared" si="2"/>
        <v>0</v>
      </c>
      <c r="K24" s="58"/>
      <c r="L24" s="64"/>
      <c r="M24" s="58"/>
      <c r="N24" s="58"/>
      <c r="O24" s="58"/>
      <c r="P24" s="58"/>
      <c r="Q24" s="58"/>
    </row>
    <row r="25" spans="1:17" s="62" customFormat="1" ht="28.5" x14ac:dyDescent="0.25">
      <c r="A25" s="103"/>
      <c r="B25" s="92" t="s">
        <v>27</v>
      </c>
      <c r="C25" s="100"/>
      <c r="D25" s="118" t="s">
        <v>28</v>
      </c>
      <c r="E25" s="183">
        <f>E26+E28</f>
        <v>299750</v>
      </c>
      <c r="F25" s="183">
        <f>F26+F28</f>
        <v>14000</v>
      </c>
      <c r="G25" s="183">
        <f>G26+G28</f>
        <v>298000</v>
      </c>
      <c r="H25" s="183">
        <f>H26+H28</f>
        <v>299750</v>
      </c>
      <c r="I25" s="592">
        <f t="shared" si="1"/>
        <v>2141.0714285714284</v>
      </c>
      <c r="J25" s="592">
        <f t="shared" si="2"/>
        <v>100.58724832214764</v>
      </c>
      <c r="K25" s="58"/>
      <c r="L25" s="64"/>
      <c r="M25" s="58"/>
      <c r="N25" s="58"/>
      <c r="O25" s="58"/>
      <c r="P25" s="58"/>
      <c r="Q25" s="58"/>
    </row>
    <row r="26" spans="1:17" s="62" customFormat="1" ht="28.5" x14ac:dyDescent="0.25">
      <c r="A26" s="103"/>
      <c r="B26" s="92" t="s">
        <v>29</v>
      </c>
      <c r="C26" s="100"/>
      <c r="D26" s="118" t="s">
        <v>30</v>
      </c>
      <c r="E26" s="183">
        <f>SUM(E27)</f>
        <v>14000</v>
      </c>
      <c r="F26" s="183">
        <f>SUM(F27)</f>
        <v>14000</v>
      </c>
      <c r="G26" s="183">
        <f>SUM(G27)</f>
        <v>14000</v>
      </c>
      <c r="H26" s="183">
        <f>SUM(H27)</f>
        <v>14000</v>
      </c>
      <c r="I26" s="592">
        <f t="shared" si="1"/>
        <v>100</v>
      </c>
      <c r="J26" s="592">
        <f t="shared" si="2"/>
        <v>100</v>
      </c>
      <c r="K26" s="58"/>
      <c r="L26" s="64"/>
      <c r="M26" s="58"/>
      <c r="N26" s="58"/>
      <c r="O26" s="58"/>
      <c r="P26" s="58"/>
      <c r="Q26" s="58"/>
    </row>
    <row r="27" spans="1:17" s="62" customFormat="1" ht="30" x14ac:dyDescent="0.25">
      <c r="A27" s="103"/>
      <c r="B27" s="94" t="s">
        <v>458</v>
      </c>
      <c r="C27" s="103"/>
      <c r="D27" s="119" t="s">
        <v>30</v>
      </c>
      <c r="E27" s="185">
        <v>14000</v>
      </c>
      <c r="F27" s="185">
        <v>14000</v>
      </c>
      <c r="G27" s="185">
        <v>14000</v>
      </c>
      <c r="H27" s="185">
        <v>14000</v>
      </c>
      <c r="I27" s="593">
        <f t="shared" si="1"/>
        <v>100</v>
      </c>
      <c r="J27" s="593">
        <f t="shared" si="2"/>
        <v>100</v>
      </c>
      <c r="K27" s="58"/>
      <c r="L27" s="64"/>
      <c r="M27" s="58"/>
      <c r="N27" s="58"/>
      <c r="O27" s="58"/>
      <c r="P27" s="58"/>
      <c r="Q27" s="58"/>
    </row>
    <row r="28" spans="1:17" s="62" customFormat="1" ht="28.5" x14ac:dyDescent="0.25">
      <c r="A28" s="103"/>
      <c r="B28" s="92" t="s">
        <v>602</v>
      </c>
      <c r="C28" s="100"/>
      <c r="D28" s="118" t="s">
        <v>592</v>
      </c>
      <c r="E28" s="183">
        <f>SUM(E29)</f>
        <v>285750</v>
      </c>
      <c r="F28" s="183">
        <f>SUM(F29)</f>
        <v>0</v>
      </c>
      <c r="G28" s="183">
        <f>SUM(G29)</f>
        <v>284000</v>
      </c>
      <c r="H28" s="183">
        <f>SUM(H29)</f>
        <v>285750</v>
      </c>
      <c r="I28" s="592">
        <f t="shared" si="1"/>
        <v>285750</v>
      </c>
      <c r="J28" s="592">
        <f t="shared" si="2"/>
        <v>100.61619718309859</v>
      </c>
      <c r="K28" s="58"/>
      <c r="L28" s="64"/>
      <c r="M28" s="58"/>
      <c r="N28" s="58"/>
      <c r="O28" s="58"/>
      <c r="P28" s="58"/>
      <c r="Q28" s="58"/>
    </row>
    <row r="29" spans="1:17" s="62" customFormat="1" ht="30" x14ac:dyDescent="0.25">
      <c r="A29" s="103"/>
      <c r="B29" s="94" t="s">
        <v>601</v>
      </c>
      <c r="C29" s="103"/>
      <c r="D29" s="119" t="s">
        <v>592</v>
      </c>
      <c r="E29" s="185">
        <v>285750</v>
      </c>
      <c r="F29" s="185">
        <v>0</v>
      </c>
      <c r="G29" s="185">
        <v>284000</v>
      </c>
      <c r="H29" s="185">
        <v>285750</v>
      </c>
      <c r="I29" s="593">
        <f t="shared" si="1"/>
        <v>285750</v>
      </c>
      <c r="J29" s="593">
        <f t="shared" si="2"/>
        <v>100.61619718309859</v>
      </c>
      <c r="K29" s="58"/>
      <c r="L29" s="64"/>
      <c r="M29" s="58"/>
      <c r="N29" s="58"/>
      <c r="O29" s="58"/>
      <c r="P29" s="58"/>
      <c r="Q29" s="58"/>
    </row>
    <row r="30" spans="1:17" s="62" customFormat="1" x14ac:dyDescent="0.25">
      <c r="A30" s="103"/>
      <c r="B30" s="92" t="s">
        <v>31</v>
      </c>
      <c r="C30" s="100"/>
      <c r="D30" s="118" t="s">
        <v>32</v>
      </c>
      <c r="E30" s="183">
        <f>SUM(E31,E33)</f>
        <v>31082.9</v>
      </c>
      <c r="F30" s="183">
        <f>SUM(F31,F33)</f>
        <v>45699.34</v>
      </c>
      <c r="G30" s="183">
        <f>SUM(G31,G33)</f>
        <v>148609.22</v>
      </c>
      <c r="H30" s="183">
        <f t="shared" ref="H30" si="7">SUM(H31,H33)</f>
        <v>9965.23</v>
      </c>
      <c r="I30" s="592">
        <f t="shared" si="1"/>
        <v>21.80606984696059</v>
      </c>
      <c r="J30" s="592">
        <f t="shared" si="2"/>
        <v>6.7056606582014222</v>
      </c>
      <c r="K30" s="58"/>
      <c r="L30" s="64"/>
      <c r="M30" s="58"/>
      <c r="N30" s="58"/>
      <c r="O30" s="58"/>
      <c r="P30" s="58"/>
      <c r="Q30" s="58"/>
    </row>
    <row r="31" spans="1:17" s="62" customFormat="1" x14ac:dyDescent="0.25">
      <c r="A31" s="103"/>
      <c r="B31" s="92" t="s">
        <v>33</v>
      </c>
      <c r="C31" s="100"/>
      <c r="D31" s="118" t="s">
        <v>34</v>
      </c>
      <c r="E31" s="183">
        <f>SUM(E32)</f>
        <v>31082.9</v>
      </c>
      <c r="F31" s="183">
        <f>SUM(F32)</f>
        <v>45699.34</v>
      </c>
      <c r="G31" s="183">
        <f>SUM(G32)</f>
        <v>148609.22</v>
      </c>
      <c r="H31" s="183">
        <f t="shared" ref="H31" si="8">SUM(H32)</f>
        <v>9965.23</v>
      </c>
      <c r="I31" s="592">
        <f t="shared" si="1"/>
        <v>21.80606984696059</v>
      </c>
      <c r="J31" s="592">
        <f t="shared" si="2"/>
        <v>6.7056606582014222</v>
      </c>
      <c r="K31" s="58"/>
      <c r="L31" s="64"/>
      <c r="M31" s="58"/>
      <c r="N31" s="58"/>
      <c r="O31" s="58"/>
      <c r="P31" s="58"/>
      <c r="Q31" s="58"/>
    </row>
    <row r="32" spans="1:17" s="62" customFormat="1" x14ac:dyDescent="0.25">
      <c r="A32" s="103"/>
      <c r="B32" s="94" t="s">
        <v>459</v>
      </c>
      <c r="C32" s="103"/>
      <c r="D32" s="119" t="s">
        <v>34</v>
      </c>
      <c r="E32" s="185">
        <v>31082.9</v>
      </c>
      <c r="F32" s="185">
        <v>45699.34</v>
      </c>
      <c r="G32" s="185">
        <v>148609.22</v>
      </c>
      <c r="H32" s="185">
        <v>9965.23</v>
      </c>
      <c r="I32" s="593">
        <f t="shared" si="1"/>
        <v>21.80606984696059</v>
      </c>
      <c r="J32" s="593">
        <f t="shared" si="2"/>
        <v>6.7056606582014222</v>
      </c>
      <c r="K32" s="58"/>
      <c r="L32" s="58"/>
      <c r="M32" s="58"/>
      <c r="N32" s="58"/>
      <c r="O32" s="58"/>
      <c r="P32" s="58"/>
      <c r="Q32" s="58"/>
    </row>
    <row r="33" spans="1:17" s="62" customFormat="1" x14ac:dyDescent="0.25">
      <c r="A33" s="103"/>
      <c r="B33" s="92" t="s">
        <v>35</v>
      </c>
      <c r="C33" s="100"/>
      <c r="D33" s="118" t="s">
        <v>36</v>
      </c>
      <c r="E33" s="183"/>
      <c r="F33" s="183"/>
      <c r="G33" s="183"/>
      <c r="H33" s="183"/>
      <c r="I33" s="592">
        <f t="shared" si="1"/>
        <v>0</v>
      </c>
      <c r="J33" s="592">
        <f t="shared" si="2"/>
        <v>0</v>
      </c>
      <c r="K33" s="58"/>
      <c r="L33" s="64"/>
      <c r="M33" s="58"/>
      <c r="N33" s="58"/>
      <c r="O33" s="58"/>
      <c r="P33" s="58"/>
      <c r="Q33" s="58"/>
    </row>
    <row r="34" spans="1:17" s="65" customFormat="1" ht="14.25" x14ac:dyDescent="0.25">
      <c r="A34" s="100"/>
      <c r="B34" s="92" t="s">
        <v>37</v>
      </c>
      <c r="C34" s="100"/>
      <c r="D34" s="118" t="s">
        <v>38</v>
      </c>
      <c r="E34" s="183">
        <f>E35</f>
        <v>0</v>
      </c>
      <c r="F34" s="183">
        <f>F35</f>
        <v>0</v>
      </c>
      <c r="G34" s="183">
        <f>G35</f>
        <v>0</v>
      </c>
      <c r="H34" s="183">
        <f>H35</f>
        <v>0</v>
      </c>
      <c r="I34" s="592">
        <f t="shared" si="1"/>
        <v>0</v>
      </c>
      <c r="J34" s="592">
        <f t="shared" si="2"/>
        <v>0</v>
      </c>
      <c r="K34" s="64"/>
      <c r="L34" s="64"/>
      <c r="M34" s="64"/>
      <c r="N34" s="64"/>
      <c r="O34" s="64"/>
      <c r="P34" s="64"/>
      <c r="Q34" s="64"/>
    </row>
    <row r="35" spans="1:17" s="62" customFormat="1" ht="28.5" x14ac:dyDescent="0.25">
      <c r="A35" s="103"/>
      <c r="B35" s="92" t="s">
        <v>39</v>
      </c>
      <c r="C35" s="100"/>
      <c r="D35" s="118" t="s">
        <v>40</v>
      </c>
      <c r="E35" s="183"/>
      <c r="F35" s="183"/>
      <c r="G35" s="183"/>
      <c r="H35" s="183"/>
      <c r="I35" s="592">
        <f t="shared" si="1"/>
        <v>0</v>
      </c>
      <c r="J35" s="592">
        <f t="shared" si="2"/>
        <v>0</v>
      </c>
      <c r="K35" s="58"/>
      <c r="L35" s="64"/>
      <c r="M35" s="58"/>
      <c r="N35" s="58"/>
      <c r="O35" s="58"/>
      <c r="P35" s="58"/>
      <c r="Q35" s="58"/>
    </row>
    <row r="36" spans="1:17" s="288" customFormat="1" x14ac:dyDescent="0.25">
      <c r="A36" s="284"/>
      <c r="B36" s="285"/>
      <c r="C36" s="138">
        <v>52</v>
      </c>
      <c r="D36" s="139" t="s">
        <v>41</v>
      </c>
      <c r="E36" s="188">
        <f>SUM(E16)</f>
        <v>331632.40000000002</v>
      </c>
      <c r="F36" s="188">
        <f>SUM(F16)</f>
        <v>128013.95</v>
      </c>
      <c r="G36" s="188">
        <f>SUM(G16)</f>
        <v>514923.82999999996</v>
      </c>
      <c r="H36" s="188">
        <f>SUM(H16)</f>
        <v>309715.23</v>
      </c>
      <c r="I36" s="590">
        <f t="shared" si="1"/>
        <v>241.93865590429792</v>
      </c>
      <c r="J36" s="590">
        <f t="shared" si="2"/>
        <v>60.147775642855763</v>
      </c>
      <c r="K36" s="222"/>
      <c r="L36" s="287"/>
      <c r="M36" s="287"/>
      <c r="N36" s="287"/>
      <c r="O36" s="287"/>
      <c r="P36" s="287"/>
      <c r="Q36" s="287"/>
    </row>
    <row r="37" spans="1:17" s="288" customFormat="1" ht="14.25" x14ac:dyDescent="0.25">
      <c r="A37" s="284"/>
      <c r="B37" s="124">
        <v>64</v>
      </c>
      <c r="C37" s="293"/>
      <c r="D37" s="294" t="s">
        <v>42</v>
      </c>
      <c r="E37" s="109">
        <f>SUM(E38)</f>
        <v>0</v>
      </c>
      <c r="F37" s="109">
        <f>SUM(F38)</f>
        <v>0</v>
      </c>
      <c r="G37" s="109">
        <f>SUM(G38)</f>
        <v>0</v>
      </c>
      <c r="H37" s="109">
        <f>SUM(H38)</f>
        <v>0</v>
      </c>
      <c r="I37" s="594">
        <f t="shared" si="1"/>
        <v>0</v>
      </c>
      <c r="J37" s="594">
        <f t="shared" si="2"/>
        <v>0</v>
      </c>
      <c r="K37" s="222"/>
      <c r="L37" s="287"/>
      <c r="M37" s="287"/>
      <c r="N37" s="287"/>
      <c r="O37" s="287"/>
      <c r="P37" s="287"/>
      <c r="Q37" s="287"/>
    </row>
    <row r="38" spans="1:17" s="288" customFormat="1" ht="14.25" x14ac:dyDescent="0.25">
      <c r="A38" s="284"/>
      <c r="B38" s="120">
        <v>641</v>
      </c>
      <c r="C38" s="296"/>
      <c r="D38" s="290" t="s">
        <v>43</v>
      </c>
      <c r="E38" s="52">
        <f>SUM(E39:E39)</f>
        <v>0</v>
      </c>
      <c r="F38" s="52">
        <f>SUM(F39:F39)</f>
        <v>0</v>
      </c>
      <c r="G38" s="52">
        <f>SUM(G39:G39)</f>
        <v>0</v>
      </c>
      <c r="H38" s="52">
        <f>SUM(H39:H39)</f>
        <v>0</v>
      </c>
      <c r="I38" s="591">
        <f t="shared" si="1"/>
        <v>0</v>
      </c>
      <c r="J38" s="591">
        <f t="shared" si="2"/>
        <v>0</v>
      </c>
      <c r="K38" s="222"/>
      <c r="L38" s="287"/>
      <c r="M38" s="287"/>
      <c r="N38" s="287"/>
      <c r="O38" s="287"/>
      <c r="P38" s="287"/>
      <c r="Q38" s="287"/>
    </row>
    <row r="39" spans="1:17" s="288" customFormat="1" ht="14.25" x14ac:dyDescent="0.25">
      <c r="A39" s="284"/>
      <c r="B39" s="120">
        <v>6419</v>
      </c>
      <c r="C39" s="296"/>
      <c r="D39" s="290" t="s">
        <v>44</v>
      </c>
      <c r="E39" s="52"/>
      <c r="F39" s="52"/>
      <c r="G39" s="52"/>
      <c r="H39" s="52"/>
      <c r="I39" s="591">
        <f t="shared" si="1"/>
        <v>0</v>
      </c>
      <c r="J39" s="591">
        <f t="shared" si="2"/>
        <v>0</v>
      </c>
      <c r="K39" s="222"/>
      <c r="L39" s="287"/>
      <c r="M39" s="287"/>
      <c r="N39" s="287"/>
      <c r="O39" s="287"/>
      <c r="P39" s="287"/>
      <c r="Q39" s="287"/>
    </row>
    <row r="40" spans="1:17" s="62" customFormat="1" ht="28.5" x14ac:dyDescent="0.25">
      <c r="A40" s="100"/>
      <c r="B40" s="297">
        <v>65</v>
      </c>
      <c r="C40" s="298"/>
      <c r="D40" s="299" t="s">
        <v>45</v>
      </c>
      <c r="E40" s="86">
        <f t="shared" ref="E40:H41" si="9">SUM(E41)</f>
        <v>69787.179999999993</v>
      </c>
      <c r="F40" s="86">
        <f t="shared" si="9"/>
        <v>47500</v>
      </c>
      <c r="G40" s="86">
        <f t="shared" si="9"/>
        <v>47500</v>
      </c>
      <c r="H40" s="86">
        <f t="shared" si="9"/>
        <v>48280.21</v>
      </c>
      <c r="I40" s="587">
        <f t="shared" si="1"/>
        <v>101.64254736842105</v>
      </c>
      <c r="J40" s="587">
        <f t="shared" si="2"/>
        <v>101.64254736842105</v>
      </c>
      <c r="K40" s="58"/>
      <c r="L40" s="58"/>
      <c r="M40" s="58"/>
      <c r="N40" s="58"/>
      <c r="O40" s="58"/>
      <c r="P40" s="58"/>
      <c r="Q40" s="58"/>
    </row>
    <row r="41" spans="1:17" s="62" customFormat="1" x14ac:dyDescent="0.25">
      <c r="A41" s="100"/>
      <c r="B41" s="99">
        <v>652</v>
      </c>
      <c r="C41" s="300"/>
      <c r="D41" s="301" t="s">
        <v>46</v>
      </c>
      <c r="E41" s="183">
        <f>SUM(E42)</f>
        <v>69787.179999999993</v>
      </c>
      <c r="F41" s="183">
        <f>SUM(F42)</f>
        <v>47500</v>
      </c>
      <c r="G41" s="183">
        <f>SUM(G42)</f>
        <v>47500</v>
      </c>
      <c r="H41" s="183">
        <f t="shared" si="9"/>
        <v>48280.21</v>
      </c>
      <c r="I41" s="592">
        <f t="shared" si="1"/>
        <v>101.64254736842105</v>
      </c>
      <c r="J41" s="592">
        <f t="shared" si="2"/>
        <v>101.64254736842105</v>
      </c>
      <c r="K41" s="58"/>
      <c r="L41" s="58"/>
      <c r="M41" s="58"/>
      <c r="N41" s="58"/>
      <c r="O41" s="58"/>
      <c r="P41" s="58"/>
      <c r="Q41" s="58"/>
    </row>
    <row r="42" spans="1:17" s="62" customFormat="1" x14ac:dyDescent="0.25">
      <c r="A42" s="100"/>
      <c r="B42" s="99">
        <v>6526</v>
      </c>
      <c r="C42" s="300"/>
      <c r="D42" s="301" t="s">
        <v>47</v>
      </c>
      <c r="E42" s="183">
        <f>SUM(E43:E45)</f>
        <v>69787.179999999993</v>
      </c>
      <c r="F42" s="183">
        <f>SUM(F43:F45)</f>
        <v>47500</v>
      </c>
      <c r="G42" s="183">
        <f>SUM(G43:G45)</f>
        <v>47500</v>
      </c>
      <c r="H42" s="183">
        <f>SUM(H43:H45)</f>
        <v>48280.21</v>
      </c>
      <c r="I42" s="592">
        <f t="shared" si="1"/>
        <v>101.64254736842105</v>
      </c>
      <c r="J42" s="592">
        <f t="shared" si="2"/>
        <v>101.64254736842105</v>
      </c>
      <c r="K42" s="58"/>
      <c r="L42" s="58"/>
      <c r="M42" s="58"/>
      <c r="N42" s="58"/>
      <c r="O42" s="58"/>
      <c r="P42" s="58"/>
      <c r="Q42" s="58"/>
    </row>
    <row r="43" spans="1:17" s="62" customFormat="1" x14ac:dyDescent="0.25">
      <c r="A43" s="100"/>
      <c r="B43" s="102">
        <v>65264</v>
      </c>
      <c r="C43" s="302"/>
      <c r="D43" s="303" t="s">
        <v>452</v>
      </c>
      <c r="E43" s="89">
        <v>51154.92</v>
      </c>
      <c r="F43" s="89">
        <v>44000</v>
      </c>
      <c r="G43" s="89">
        <v>44000</v>
      </c>
      <c r="H43" s="89">
        <v>47712.18</v>
      </c>
      <c r="I43" s="585">
        <f t="shared" si="1"/>
        <v>108.43677272727273</v>
      </c>
      <c r="J43" s="585">
        <f t="shared" si="2"/>
        <v>108.43677272727273</v>
      </c>
      <c r="K43" s="74"/>
      <c r="L43" s="58"/>
      <c r="M43" s="58"/>
      <c r="N43" s="58"/>
      <c r="O43" s="58"/>
      <c r="P43" s="58"/>
      <c r="Q43" s="58"/>
    </row>
    <row r="44" spans="1:17" s="62" customFormat="1" x14ac:dyDescent="0.25">
      <c r="A44" s="100"/>
      <c r="B44" s="102">
        <v>65265</v>
      </c>
      <c r="C44" s="302"/>
      <c r="D44" s="303" t="s">
        <v>608</v>
      </c>
      <c r="E44" s="89"/>
      <c r="F44" s="89"/>
      <c r="G44" s="89"/>
      <c r="H44" s="89">
        <v>0</v>
      </c>
      <c r="I44" s="585">
        <f t="shared" si="1"/>
        <v>0</v>
      </c>
      <c r="J44" s="585">
        <f t="shared" si="2"/>
        <v>0</v>
      </c>
      <c r="K44" s="74"/>
      <c r="L44" s="58"/>
      <c r="M44" s="58"/>
      <c r="N44" s="58"/>
      <c r="O44" s="58"/>
      <c r="P44" s="58"/>
      <c r="Q44" s="58"/>
    </row>
    <row r="45" spans="1:17" s="65" customFormat="1" x14ac:dyDescent="0.25">
      <c r="A45" s="103"/>
      <c r="B45" s="102">
        <v>65269</v>
      </c>
      <c r="C45" s="302"/>
      <c r="D45" s="303" t="s">
        <v>454</v>
      </c>
      <c r="E45" s="185">
        <v>18632.259999999998</v>
      </c>
      <c r="F45" s="185">
        <v>3500</v>
      </c>
      <c r="G45" s="185">
        <v>3500</v>
      </c>
      <c r="H45" s="185">
        <v>568.03</v>
      </c>
      <c r="I45" s="593">
        <f t="shared" si="1"/>
        <v>16.229428571428571</v>
      </c>
      <c r="J45" s="593">
        <f t="shared" si="2"/>
        <v>16.229428571428571</v>
      </c>
      <c r="K45" s="273"/>
      <c r="L45" s="64"/>
      <c r="M45" s="64"/>
      <c r="N45" s="64"/>
      <c r="O45" s="64"/>
      <c r="P45" s="64"/>
      <c r="Q45" s="64"/>
    </row>
    <row r="46" spans="1:17" s="65" customFormat="1" ht="28.5" x14ac:dyDescent="0.25">
      <c r="A46" s="103"/>
      <c r="B46" s="83">
        <v>67</v>
      </c>
      <c r="C46" s="274"/>
      <c r="D46" s="275" t="s">
        <v>8</v>
      </c>
      <c r="E46" s="86">
        <f>SUM(E47,E50)</f>
        <v>4148754.73</v>
      </c>
      <c r="F46" s="86">
        <f>SUM(F47,F50)</f>
        <v>3899096.66</v>
      </c>
      <c r="G46" s="86">
        <f>SUM(G47,G50)</f>
        <v>3899096.66</v>
      </c>
      <c r="H46" s="86">
        <f t="shared" ref="H46" si="10">SUM(H47,H50)</f>
        <v>4227449.2699999996</v>
      </c>
      <c r="I46" s="587">
        <f t="shared" si="1"/>
        <v>108.4212482693363</v>
      </c>
      <c r="J46" s="587">
        <f t="shared" si="2"/>
        <v>108.4212482693363</v>
      </c>
      <c r="K46" s="64"/>
      <c r="L46" s="64"/>
      <c r="M46" s="64"/>
      <c r="N46" s="64"/>
      <c r="O46" s="64"/>
      <c r="P46" s="64"/>
      <c r="Q46" s="64"/>
    </row>
    <row r="47" spans="1:17" s="65" customFormat="1" ht="28.5" hidden="1" x14ac:dyDescent="0.25">
      <c r="A47" s="103"/>
      <c r="B47" s="175" t="s">
        <v>9</v>
      </c>
      <c r="C47" s="277"/>
      <c r="D47" s="278" t="s">
        <v>10</v>
      </c>
      <c r="E47" s="279">
        <f>SUM(E48:E49)</f>
        <v>0</v>
      </c>
      <c r="F47" s="279">
        <f>SUM(F48:F49)</f>
        <v>0</v>
      </c>
      <c r="G47" s="279">
        <f>SUM(G48:G49)</f>
        <v>0</v>
      </c>
      <c r="H47" s="279">
        <f t="shared" ref="H47" si="11">SUM(H48:H49)</f>
        <v>0</v>
      </c>
      <c r="I47" s="588">
        <f t="shared" si="1"/>
        <v>0</v>
      </c>
      <c r="J47" s="588">
        <f t="shared" si="2"/>
        <v>0</v>
      </c>
      <c r="K47" s="64"/>
      <c r="L47" s="64"/>
      <c r="M47" s="64"/>
      <c r="N47" s="64"/>
      <c r="O47" s="64"/>
      <c r="P47" s="64"/>
      <c r="Q47" s="64"/>
    </row>
    <row r="48" spans="1:17" s="65" customFormat="1" hidden="1" x14ac:dyDescent="0.25">
      <c r="A48" s="103"/>
      <c r="B48" s="177" t="s">
        <v>11</v>
      </c>
      <c r="C48" s="281"/>
      <c r="D48" s="282" t="s">
        <v>12</v>
      </c>
      <c r="E48" s="283">
        <v>0</v>
      </c>
      <c r="F48" s="283">
        <v>0</v>
      </c>
      <c r="G48" s="283">
        <v>0</v>
      </c>
      <c r="H48" s="283">
        <v>0</v>
      </c>
      <c r="I48" s="589">
        <f t="shared" si="1"/>
        <v>0</v>
      </c>
      <c r="J48" s="589">
        <f t="shared" si="2"/>
        <v>0</v>
      </c>
      <c r="K48" s="64"/>
      <c r="L48" s="64"/>
      <c r="M48" s="64"/>
      <c r="N48" s="64"/>
      <c r="O48" s="64"/>
      <c r="P48" s="64"/>
      <c r="Q48" s="64"/>
    </row>
    <row r="49" spans="1:17" s="65" customFormat="1" hidden="1" x14ac:dyDescent="0.25">
      <c r="A49" s="103"/>
      <c r="B49" s="177" t="s">
        <v>13</v>
      </c>
      <c r="C49" s="281"/>
      <c r="D49" s="282" t="s">
        <v>14</v>
      </c>
      <c r="E49" s="283">
        <v>0</v>
      </c>
      <c r="F49" s="283">
        <v>0</v>
      </c>
      <c r="G49" s="283">
        <v>0</v>
      </c>
      <c r="H49" s="283">
        <v>0</v>
      </c>
      <c r="I49" s="589">
        <f t="shared" si="1"/>
        <v>0</v>
      </c>
      <c r="J49" s="589">
        <f t="shared" si="2"/>
        <v>0</v>
      </c>
      <c r="K49" s="64"/>
      <c r="L49" s="64"/>
      <c r="M49" s="64"/>
      <c r="N49" s="64"/>
      <c r="O49" s="64"/>
      <c r="P49" s="64"/>
      <c r="Q49" s="64"/>
    </row>
    <row r="50" spans="1:17" s="65" customFormat="1" x14ac:dyDescent="0.25">
      <c r="A50" s="103"/>
      <c r="B50" s="92" t="s">
        <v>48</v>
      </c>
      <c r="C50" s="133"/>
      <c r="D50" s="118" t="s">
        <v>49</v>
      </c>
      <c r="E50" s="183">
        <f t="shared" ref="E50:G51" si="12">SUM(E51)</f>
        <v>4148754.73</v>
      </c>
      <c r="F50" s="183">
        <f t="shared" si="12"/>
        <v>3899096.66</v>
      </c>
      <c r="G50" s="183">
        <f t="shared" si="12"/>
        <v>3899096.66</v>
      </c>
      <c r="H50" s="183">
        <f t="shared" ref="H50:H51" si="13">SUM(H51)</f>
        <v>4227449.2699999996</v>
      </c>
      <c r="I50" s="592">
        <f t="shared" si="1"/>
        <v>108.4212482693363</v>
      </c>
      <c r="J50" s="592">
        <f t="shared" si="2"/>
        <v>108.4212482693363</v>
      </c>
      <c r="K50" s="64"/>
      <c r="L50" s="64"/>
      <c r="M50" s="64"/>
      <c r="N50" s="64"/>
      <c r="O50" s="64"/>
      <c r="P50" s="64"/>
      <c r="Q50" s="64"/>
    </row>
    <row r="51" spans="1:17" s="65" customFormat="1" x14ac:dyDescent="0.25">
      <c r="A51" s="103"/>
      <c r="B51" s="92" t="s">
        <v>50</v>
      </c>
      <c r="C51" s="133"/>
      <c r="D51" s="118" t="s">
        <v>49</v>
      </c>
      <c r="E51" s="183">
        <f t="shared" si="12"/>
        <v>4148754.73</v>
      </c>
      <c r="F51" s="183">
        <f t="shared" si="12"/>
        <v>3899096.66</v>
      </c>
      <c r="G51" s="183">
        <f t="shared" si="12"/>
        <v>3899096.66</v>
      </c>
      <c r="H51" s="183">
        <f t="shared" si="13"/>
        <v>4227449.2699999996</v>
      </c>
      <c r="I51" s="592">
        <f t="shared" si="1"/>
        <v>108.4212482693363</v>
      </c>
      <c r="J51" s="592">
        <f t="shared" si="2"/>
        <v>108.4212482693363</v>
      </c>
      <c r="K51" s="64"/>
      <c r="L51" s="64"/>
      <c r="M51" s="64"/>
      <c r="N51" s="64"/>
      <c r="O51" s="64"/>
      <c r="P51" s="64"/>
      <c r="Q51" s="64"/>
    </row>
    <row r="52" spans="1:17" s="65" customFormat="1" x14ac:dyDescent="0.25">
      <c r="A52" s="103"/>
      <c r="B52" s="94" t="s">
        <v>460</v>
      </c>
      <c r="C52" s="110"/>
      <c r="D52" s="119" t="s">
        <v>49</v>
      </c>
      <c r="E52" s="185">
        <v>4148754.73</v>
      </c>
      <c r="F52" s="185">
        <v>3899096.66</v>
      </c>
      <c r="G52" s="185">
        <v>3899096.66</v>
      </c>
      <c r="H52" s="185">
        <v>4227449.2699999996</v>
      </c>
      <c r="I52" s="593">
        <f t="shared" si="1"/>
        <v>108.4212482693363</v>
      </c>
      <c r="J52" s="593">
        <f t="shared" si="2"/>
        <v>108.4212482693363</v>
      </c>
      <c r="K52" s="64"/>
      <c r="L52" s="64"/>
      <c r="M52" s="64"/>
      <c r="N52" s="64"/>
      <c r="O52" s="64"/>
      <c r="P52" s="64"/>
      <c r="Q52" s="64"/>
    </row>
    <row r="53" spans="1:17" s="65" customFormat="1" x14ac:dyDescent="0.25">
      <c r="A53" s="103"/>
      <c r="B53" s="83" t="s">
        <v>51</v>
      </c>
      <c r="C53" s="274"/>
      <c r="D53" s="275" t="s">
        <v>52</v>
      </c>
      <c r="E53" s="86">
        <f t="shared" ref="E53:H55" si="14">SUM(E54)</f>
        <v>712.71</v>
      </c>
      <c r="F53" s="86">
        <f t="shared" si="14"/>
        <v>3000</v>
      </c>
      <c r="G53" s="86">
        <f t="shared" si="14"/>
        <v>3000</v>
      </c>
      <c r="H53" s="86">
        <f t="shared" si="14"/>
        <v>340.07</v>
      </c>
      <c r="I53" s="587">
        <f t="shared" si="1"/>
        <v>11.335666666666667</v>
      </c>
      <c r="J53" s="587">
        <f t="shared" si="2"/>
        <v>11.335666666666667</v>
      </c>
      <c r="K53" s="64"/>
      <c r="L53" s="64"/>
      <c r="M53" s="64"/>
      <c r="N53" s="64"/>
      <c r="O53" s="64"/>
      <c r="P53" s="64"/>
      <c r="Q53" s="64"/>
    </row>
    <row r="54" spans="1:17" s="65" customFormat="1" x14ac:dyDescent="0.2">
      <c r="A54" s="103"/>
      <c r="B54" s="92" t="s">
        <v>53</v>
      </c>
      <c r="C54" s="133"/>
      <c r="D54" s="128" t="s">
        <v>54</v>
      </c>
      <c r="E54" s="183">
        <f t="shared" ref="E54:G55" si="15">SUM(E55)</f>
        <v>712.71</v>
      </c>
      <c r="F54" s="183">
        <f t="shared" si="15"/>
        <v>3000</v>
      </c>
      <c r="G54" s="183">
        <f t="shared" si="15"/>
        <v>3000</v>
      </c>
      <c r="H54" s="183">
        <f t="shared" si="14"/>
        <v>340.07</v>
      </c>
      <c r="I54" s="592">
        <f t="shared" si="1"/>
        <v>11.335666666666667</v>
      </c>
      <c r="J54" s="592">
        <f t="shared" si="2"/>
        <v>11.335666666666667</v>
      </c>
      <c r="K54" s="64"/>
      <c r="L54" s="64"/>
      <c r="M54" s="64"/>
      <c r="N54" s="64"/>
      <c r="O54" s="64"/>
      <c r="P54" s="64"/>
      <c r="Q54" s="64"/>
    </row>
    <row r="55" spans="1:17" s="65" customFormat="1" x14ac:dyDescent="0.2">
      <c r="A55" s="103"/>
      <c r="B55" s="92" t="s">
        <v>55</v>
      </c>
      <c r="C55" s="133"/>
      <c r="D55" s="128" t="s">
        <v>54</v>
      </c>
      <c r="E55" s="183">
        <f t="shared" si="15"/>
        <v>712.71</v>
      </c>
      <c r="F55" s="183">
        <f t="shared" si="15"/>
        <v>3000</v>
      </c>
      <c r="G55" s="183">
        <f t="shared" si="15"/>
        <v>3000</v>
      </c>
      <c r="H55" s="183">
        <f t="shared" si="14"/>
        <v>340.07</v>
      </c>
      <c r="I55" s="592">
        <f t="shared" si="1"/>
        <v>11.335666666666667</v>
      </c>
      <c r="J55" s="592">
        <f t="shared" si="2"/>
        <v>11.335666666666667</v>
      </c>
      <c r="K55" s="64"/>
      <c r="L55" s="64"/>
      <c r="M55" s="64"/>
      <c r="N55" s="64"/>
      <c r="O55" s="64"/>
      <c r="P55" s="64"/>
      <c r="Q55" s="64"/>
    </row>
    <row r="56" spans="1:17" s="65" customFormat="1" x14ac:dyDescent="0.25">
      <c r="A56" s="103"/>
      <c r="B56" s="94" t="s">
        <v>461</v>
      </c>
      <c r="C56" s="110"/>
      <c r="D56" s="304" t="s">
        <v>54</v>
      </c>
      <c r="E56" s="185">
        <v>712.71</v>
      </c>
      <c r="F56" s="185">
        <v>3000</v>
      </c>
      <c r="G56" s="185">
        <v>3000</v>
      </c>
      <c r="H56" s="185">
        <v>340.07</v>
      </c>
      <c r="I56" s="593">
        <f t="shared" si="1"/>
        <v>11.335666666666667</v>
      </c>
      <c r="J56" s="593">
        <f t="shared" si="2"/>
        <v>11.335666666666667</v>
      </c>
      <c r="K56" s="64"/>
      <c r="L56" s="64"/>
      <c r="M56" s="64"/>
      <c r="N56" s="64"/>
      <c r="O56" s="64"/>
      <c r="P56" s="64"/>
      <c r="Q56" s="64"/>
    </row>
    <row r="57" spans="1:17" s="288" customFormat="1" x14ac:dyDescent="0.25">
      <c r="A57" s="284"/>
      <c r="B57" s="285"/>
      <c r="C57" s="138">
        <v>43</v>
      </c>
      <c r="D57" s="139" t="s">
        <v>56</v>
      </c>
      <c r="E57" s="188">
        <f>SUM(E37,E40,E46,E53)</f>
        <v>4219254.62</v>
      </c>
      <c r="F57" s="188">
        <f>SUM(F37,F40,F46,F53)</f>
        <v>3949596.66</v>
      </c>
      <c r="G57" s="188">
        <f>SUM(G37,G40,G46,G53)</f>
        <v>3949596.66</v>
      </c>
      <c r="H57" s="188">
        <f>SUM(H37,H40,H46,H53)</f>
        <v>4276069.55</v>
      </c>
      <c r="I57" s="590">
        <f t="shared" si="1"/>
        <v>108.26598050647532</v>
      </c>
      <c r="J57" s="590">
        <f t="shared" si="2"/>
        <v>108.26598050647532</v>
      </c>
      <c r="K57" s="287"/>
      <c r="L57" s="287"/>
      <c r="M57" s="287"/>
      <c r="N57" s="287"/>
      <c r="O57" s="287"/>
      <c r="P57" s="287"/>
      <c r="Q57" s="287"/>
    </row>
    <row r="58" spans="1:17" s="65" customFormat="1" ht="14.25" x14ac:dyDescent="0.25">
      <c r="A58" s="100"/>
      <c r="B58" s="124">
        <v>64</v>
      </c>
      <c r="C58" s="293"/>
      <c r="D58" s="294" t="s">
        <v>42</v>
      </c>
      <c r="E58" s="109">
        <f>SUM(E59)</f>
        <v>40.760000000000005</v>
      </c>
      <c r="F58" s="109">
        <f>SUM(F59)</f>
        <v>200</v>
      </c>
      <c r="G58" s="109">
        <f>SUM(G59)</f>
        <v>200</v>
      </c>
      <c r="H58" s="109">
        <f t="shared" ref="H58" si="16">SUM(H59)</f>
        <v>4.18</v>
      </c>
      <c r="I58" s="594">
        <f t="shared" si="1"/>
        <v>2.09</v>
      </c>
      <c r="J58" s="594">
        <f t="shared" si="2"/>
        <v>2.09</v>
      </c>
      <c r="K58" s="64"/>
      <c r="L58" s="64"/>
      <c r="M58" s="64"/>
      <c r="N58" s="64"/>
      <c r="O58" s="64"/>
      <c r="P58" s="64"/>
      <c r="Q58" s="64"/>
    </row>
    <row r="59" spans="1:17" s="65" customFormat="1" ht="14.25" x14ac:dyDescent="0.25">
      <c r="A59" s="100"/>
      <c r="B59" s="120">
        <v>641</v>
      </c>
      <c r="C59" s="296"/>
      <c r="D59" s="290" t="s">
        <v>43</v>
      </c>
      <c r="E59" s="52">
        <f>SUM(E60,E62,E64,E65)</f>
        <v>40.760000000000005</v>
      </c>
      <c r="F59" s="52">
        <f>SUM(F60,F62,F64,F65)</f>
        <v>200</v>
      </c>
      <c r="G59" s="52">
        <f>SUM(G60,G62,G64,G65)</f>
        <v>200</v>
      </c>
      <c r="H59" s="52">
        <f>SUM(H60,H62,H64,H65)</f>
        <v>4.18</v>
      </c>
      <c r="I59" s="591">
        <f t="shared" si="1"/>
        <v>2.09</v>
      </c>
      <c r="J59" s="591">
        <f t="shared" si="2"/>
        <v>2.09</v>
      </c>
      <c r="K59" s="64"/>
      <c r="L59" s="64"/>
      <c r="M59" s="64"/>
      <c r="N59" s="64"/>
      <c r="O59" s="64"/>
      <c r="P59" s="64"/>
      <c r="Q59" s="64"/>
    </row>
    <row r="60" spans="1:17" s="65" customFormat="1" x14ac:dyDescent="0.25">
      <c r="A60" s="100"/>
      <c r="B60" s="305">
        <v>6413</v>
      </c>
      <c r="C60" s="306"/>
      <c r="D60" s="290" t="s">
        <v>254</v>
      </c>
      <c r="E60" s="52">
        <f>SUM(E61)</f>
        <v>24.01</v>
      </c>
      <c r="F60" s="52">
        <f>SUM(F61)</f>
        <v>200</v>
      </c>
      <c r="G60" s="52">
        <f>SUM(G61)</f>
        <v>200</v>
      </c>
      <c r="H60" s="52">
        <f t="shared" ref="H60" si="17">SUM(H61)</f>
        <v>4.18</v>
      </c>
      <c r="I60" s="591">
        <f t="shared" si="1"/>
        <v>2.09</v>
      </c>
      <c r="J60" s="591">
        <f t="shared" si="2"/>
        <v>2.09</v>
      </c>
      <c r="K60" s="64"/>
      <c r="L60" s="64"/>
      <c r="M60" s="64"/>
      <c r="N60" s="64"/>
      <c r="O60" s="64"/>
      <c r="P60" s="64"/>
      <c r="Q60" s="64"/>
    </row>
    <row r="61" spans="1:17" s="62" customFormat="1" x14ac:dyDescent="0.25">
      <c r="A61" s="103"/>
      <c r="B61" s="307">
        <v>64132</v>
      </c>
      <c r="C61" s="308"/>
      <c r="D61" s="291" t="s">
        <v>254</v>
      </c>
      <c r="E61" s="89">
        <v>24.01</v>
      </c>
      <c r="F61" s="89">
        <v>200</v>
      </c>
      <c r="G61" s="89">
        <v>200</v>
      </c>
      <c r="H61" s="89">
        <v>4.18</v>
      </c>
      <c r="I61" s="585">
        <f t="shared" si="1"/>
        <v>2.09</v>
      </c>
      <c r="J61" s="585">
        <f t="shared" si="2"/>
        <v>2.09</v>
      </c>
      <c r="K61" s="58"/>
      <c r="L61" s="58"/>
      <c r="M61" s="58"/>
      <c r="N61" s="58"/>
      <c r="O61" s="58"/>
      <c r="P61" s="58"/>
      <c r="Q61" s="58"/>
    </row>
    <row r="62" spans="1:17" s="62" customFormat="1" x14ac:dyDescent="0.25">
      <c r="A62" s="103"/>
      <c r="B62" s="305">
        <v>6414</v>
      </c>
      <c r="C62" s="306"/>
      <c r="D62" s="290" t="s">
        <v>547</v>
      </c>
      <c r="E62" s="52">
        <f>SUM(E63)</f>
        <v>16.75</v>
      </c>
      <c r="F62" s="52">
        <f>SUM(F63)</f>
        <v>0</v>
      </c>
      <c r="G62" s="52">
        <f>SUM(G63)</f>
        <v>0</v>
      </c>
      <c r="H62" s="52">
        <f>SUM(H63)</f>
        <v>0</v>
      </c>
      <c r="I62" s="591">
        <f t="shared" si="1"/>
        <v>0</v>
      </c>
      <c r="J62" s="591">
        <f t="shared" si="2"/>
        <v>0</v>
      </c>
      <c r="K62" s="58"/>
      <c r="L62" s="58"/>
      <c r="M62" s="58"/>
      <c r="N62" s="58"/>
      <c r="O62" s="58"/>
      <c r="P62" s="58"/>
      <c r="Q62" s="58"/>
    </row>
    <row r="63" spans="1:17" s="62" customFormat="1" x14ac:dyDescent="0.25">
      <c r="A63" s="103"/>
      <c r="B63" s="307">
        <v>64143</v>
      </c>
      <c r="C63" s="308"/>
      <c r="D63" s="291" t="s">
        <v>547</v>
      </c>
      <c r="E63" s="89">
        <v>16.75</v>
      </c>
      <c r="F63" s="89"/>
      <c r="G63" s="89"/>
      <c r="H63" s="89">
        <v>0</v>
      </c>
      <c r="I63" s="585">
        <f t="shared" si="1"/>
        <v>0</v>
      </c>
      <c r="J63" s="585">
        <f t="shared" si="2"/>
        <v>0</v>
      </c>
      <c r="K63" s="58"/>
      <c r="L63" s="58"/>
      <c r="M63" s="58"/>
      <c r="N63" s="58"/>
      <c r="O63" s="58"/>
      <c r="P63" s="58"/>
      <c r="Q63" s="58"/>
    </row>
    <row r="64" spans="1:17" s="62" customFormat="1" x14ac:dyDescent="0.25">
      <c r="A64" s="103"/>
      <c r="B64" s="305">
        <v>6419</v>
      </c>
      <c r="C64" s="306"/>
      <c r="D64" s="290" t="s">
        <v>44</v>
      </c>
      <c r="E64" s="89"/>
      <c r="F64" s="89"/>
      <c r="G64" s="89"/>
      <c r="H64" s="89"/>
      <c r="I64" s="585">
        <f t="shared" si="1"/>
        <v>0</v>
      </c>
      <c r="J64" s="585">
        <f t="shared" si="2"/>
        <v>0</v>
      </c>
      <c r="K64" s="58"/>
      <c r="L64" s="58"/>
      <c r="M64" s="58"/>
      <c r="N64" s="58"/>
      <c r="O64" s="58"/>
      <c r="P64" s="58"/>
      <c r="Q64" s="58"/>
    </row>
    <row r="65" spans="1:17" s="62" customFormat="1" x14ac:dyDescent="0.25">
      <c r="A65" s="103"/>
      <c r="B65" s="305">
        <v>6429</v>
      </c>
      <c r="C65" s="306"/>
      <c r="D65" s="290" t="s">
        <v>57</v>
      </c>
      <c r="E65" s="309"/>
      <c r="F65" s="309"/>
      <c r="G65" s="309"/>
      <c r="H65" s="89"/>
      <c r="I65" s="585">
        <f t="shared" si="1"/>
        <v>0</v>
      </c>
      <c r="J65" s="585">
        <f t="shared" si="2"/>
        <v>0</v>
      </c>
      <c r="K65" s="58"/>
      <c r="L65" s="58"/>
      <c r="M65" s="58"/>
      <c r="N65" s="58"/>
      <c r="O65" s="58"/>
      <c r="P65" s="58"/>
      <c r="Q65" s="58"/>
    </row>
    <row r="66" spans="1:17" s="62" customFormat="1" ht="28.5" x14ac:dyDescent="0.25">
      <c r="A66" s="100"/>
      <c r="B66" s="83">
        <v>66</v>
      </c>
      <c r="C66" s="274"/>
      <c r="D66" s="275" t="s">
        <v>58</v>
      </c>
      <c r="E66" s="310">
        <f>SUM(E67)</f>
        <v>140153.61000000002</v>
      </c>
      <c r="F66" s="310">
        <f>SUM(F67)</f>
        <v>199083.29</v>
      </c>
      <c r="G66" s="310">
        <f>SUM(G67)</f>
        <v>162916.32999999999</v>
      </c>
      <c r="H66" s="310">
        <f t="shared" ref="H66" si="18">SUM(H67)</f>
        <v>137833.68</v>
      </c>
      <c r="I66" s="595">
        <f t="shared" si="1"/>
        <v>69.234178318029592</v>
      </c>
      <c r="J66" s="595">
        <f t="shared" si="2"/>
        <v>84.603968184159314</v>
      </c>
      <c r="K66" s="58"/>
      <c r="L66" s="58"/>
      <c r="M66" s="58"/>
      <c r="N66" s="58"/>
      <c r="O66" s="58"/>
      <c r="P66" s="58"/>
      <c r="Q66" s="58"/>
    </row>
    <row r="67" spans="1:17" s="62" customFormat="1" x14ac:dyDescent="0.25">
      <c r="A67" s="100"/>
      <c r="B67" s="92" t="s">
        <v>59</v>
      </c>
      <c r="C67" s="133"/>
      <c r="D67" s="118" t="s">
        <v>60</v>
      </c>
      <c r="E67" s="311">
        <f>SUM(E68:E69)</f>
        <v>140153.61000000002</v>
      </c>
      <c r="F67" s="311">
        <f>SUM(F68:F69)</f>
        <v>199083.29</v>
      </c>
      <c r="G67" s="311">
        <f>SUM(G68:G69)</f>
        <v>162916.32999999999</v>
      </c>
      <c r="H67" s="311">
        <f t="shared" ref="H67" si="19">SUM(H68:H69)</f>
        <v>137833.68</v>
      </c>
      <c r="I67" s="596">
        <f t="shared" si="1"/>
        <v>69.234178318029592</v>
      </c>
      <c r="J67" s="596">
        <f t="shared" si="2"/>
        <v>84.603968184159314</v>
      </c>
      <c r="K67" s="58"/>
      <c r="L67" s="58"/>
      <c r="M67" s="58"/>
      <c r="N67" s="58"/>
      <c r="O67" s="58"/>
      <c r="P67" s="58"/>
      <c r="Q67" s="58"/>
    </row>
    <row r="68" spans="1:17" s="62" customFormat="1" x14ac:dyDescent="0.25">
      <c r="A68" s="100"/>
      <c r="B68" s="92" t="s">
        <v>61</v>
      </c>
      <c r="C68" s="133"/>
      <c r="D68" s="118" t="s">
        <v>62</v>
      </c>
      <c r="E68" s="312"/>
      <c r="F68" s="312"/>
      <c r="G68" s="312"/>
      <c r="H68" s="312"/>
      <c r="I68" s="597">
        <f t="shared" si="1"/>
        <v>0</v>
      </c>
      <c r="J68" s="597">
        <f t="shared" si="2"/>
        <v>0</v>
      </c>
      <c r="K68" s="58"/>
      <c r="L68" s="58"/>
      <c r="M68" s="58"/>
      <c r="N68" s="58"/>
      <c r="O68" s="58"/>
      <c r="P68" s="58"/>
      <c r="Q68" s="58"/>
    </row>
    <row r="69" spans="1:17" s="62" customFormat="1" x14ac:dyDescent="0.25">
      <c r="A69" s="100"/>
      <c r="B69" s="92" t="s">
        <v>63</v>
      </c>
      <c r="C69" s="133"/>
      <c r="D69" s="118" t="s">
        <v>64</v>
      </c>
      <c r="E69" s="311">
        <f>SUM(E70:E71)</f>
        <v>140153.61000000002</v>
      </c>
      <c r="F69" s="311">
        <f t="shared" ref="F69:H69" si="20">SUM(F70:F71)</f>
        <v>199083.29</v>
      </c>
      <c r="G69" s="311">
        <f t="shared" si="20"/>
        <v>162916.32999999999</v>
      </c>
      <c r="H69" s="311">
        <f t="shared" si="20"/>
        <v>137833.68</v>
      </c>
      <c r="I69" s="596">
        <f t="shared" si="1"/>
        <v>69.234178318029592</v>
      </c>
      <c r="J69" s="596">
        <f t="shared" si="2"/>
        <v>84.603968184159314</v>
      </c>
      <c r="K69" s="58"/>
      <c r="L69" s="58"/>
      <c r="M69" s="58"/>
      <c r="N69" s="58"/>
      <c r="O69" s="58"/>
      <c r="P69" s="58"/>
      <c r="Q69" s="58"/>
    </row>
    <row r="70" spans="1:17" s="65" customFormat="1" x14ac:dyDescent="0.25">
      <c r="A70" s="103"/>
      <c r="B70" s="94" t="s">
        <v>462</v>
      </c>
      <c r="C70" s="110"/>
      <c r="D70" s="119" t="s">
        <v>64</v>
      </c>
      <c r="E70" s="313">
        <v>139946.23000000001</v>
      </c>
      <c r="F70" s="313">
        <v>199083.29</v>
      </c>
      <c r="G70" s="313">
        <v>162916.32999999999</v>
      </c>
      <c r="H70" s="312">
        <v>137833.68</v>
      </c>
      <c r="I70" s="597">
        <f t="shared" si="1"/>
        <v>69.234178318029592</v>
      </c>
      <c r="J70" s="597">
        <f t="shared" si="2"/>
        <v>84.603968184159314</v>
      </c>
      <c r="K70" s="64"/>
      <c r="L70" s="314"/>
      <c r="M70" s="64"/>
      <c r="N70" s="64"/>
      <c r="O70" s="64"/>
      <c r="P70" s="64"/>
      <c r="Q70" s="64"/>
    </row>
    <row r="71" spans="1:17" s="65" customFormat="1" x14ac:dyDescent="0.25">
      <c r="A71" s="103"/>
      <c r="B71" s="94" t="s">
        <v>595</v>
      </c>
      <c r="C71" s="110"/>
      <c r="D71" s="119" t="s">
        <v>596</v>
      </c>
      <c r="E71" s="313">
        <v>207.38</v>
      </c>
      <c r="F71" s="313"/>
      <c r="G71" s="312">
        <v>0</v>
      </c>
      <c r="H71" s="312"/>
      <c r="I71" s="597">
        <f t="shared" si="1"/>
        <v>0</v>
      </c>
      <c r="J71" s="597">
        <f t="shared" si="2"/>
        <v>0</v>
      </c>
      <c r="K71" s="64"/>
      <c r="L71" s="64"/>
      <c r="M71" s="64"/>
      <c r="N71" s="64"/>
      <c r="O71" s="64"/>
      <c r="P71" s="64"/>
      <c r="Q71" s="64"/>
    </row>
    <row r="72" spans="1:17" s="65" customFormat="1" ht="14.25" x14ac:dyDescent="0.25">
      <c r="A72" s="100"/>
      <c r="B72" s="83" t="s">
        <v>51</v>
      </c>
      <c r="C72" s="274"/>
      <c r="D72" s="275" t="s">
        <v>52</v>
      </c>
      <c r="E72" s="310">
        <f t="shared" ref="E72:H73" si="21">SUM(E73)</f>
        <v>0</v>
      </c>
      <c r="F72" s="310">
        <f t="shared" si="21"/>
        <v>0</v>
      </c>
      <c r="G72" s="310">
        <f t="shared" si="21"/>
        <v>0</v>
      </c>
      <c r="H72" s="310">
        <f t="shared" si="21"/>
        <v>0</v>
      </c>
      <c r="I72" s="595">
        <f t="shared" si="1"/>
        <v>0</v>
      </c>
      <c r="J72" s="595">
        <f t="shared" si="2"/>
        <v>0</v>
      </c>
      <c r="K72" s="64"/>
      <c r="L72" s="64"/>
      <c r="M72" s="64"/>
      <c r="N72" s="64"/>
      <c r="O72" s="64"/>
      <c r="P72" s="64"/>
      <c r="Q72" s="64"/>
    </row>
    <row r="73" spans="1:17" s="65" customFormat="1" ht="14.25" x14ac:dyDescent="0.25">
      <c r="A73" s="100"/>
      <c r="B73" s="92" t="s">
        <v>53</v>
      </c>
      <c r="C73" s="133"/>
      <c r="D73" s="118" t="s">
        <v>54</v>
      </c>
      <c r="E73" s="311">
        <f t="shared" si="21"/>
        <v>0</v>
      </c>
      <c r="F73" s="311">
        <f t="shared" si="21"/>
        <v>0</v>
      </c>
      <c r="G73" s="311">
        <f t="shared" si="21"/>
        <v>0</v>
      </c>
      <c r="H73" s="311">
        <f t="shared" si="21"/>
        <v>0</v>
      </c>
      <c r="I73" s="596">
        <f t="shared" ref="I73:I95" si="22">IFERROR(H73/F73*100,H73)</f>
        <v>0</v>
      </c>
      <c r="J73" s="596">
        <f t="shared" ref="J73:J96" si="23">IFERROR(H73/G73*100,H73)</f>
        <v>0</v>
      </c>
      <c r="K73" s="64"/>
      <c r="L73" s="64"/>
      <c r="M73" s="64"/>
      <c r="N73" s="64"/>
      <c r="O73" s="64"/>
      <c r="P73" s="64"/>
      <c r="Q73" s="64"/>
    </row>
    <row r="74" spans="1:17" s="65" customFormat="1" x14ac:dyDescent="0.25">
      <c r="A74" s="103"/>
      <c r="B74" s="92" t="s">
        <v>55</v>
      </c>
      <c r="C74" s="133"/>
      <c r="D74" s="118" t="s">
        <v>54</v>
      </c>
      <c r="E74" s="311"/>
      <c r="F74" s="311"/>
      <c r="G74" s="311"/>
      <c r="H74" s="311"/>
      <c r="I74" s="596">
        <f t="shared" si="22"/>
        <v>0</v>
      </c>
      <c r="J74" s="596">
        <f t="shared" si="23"/>
        <v>0</v>
      </c>
      <c r="K74" s="64"/>
      <c r="L74" s="64"/>
      <c r="M74" s="64"/>
      <c r="N74" s="64"/>
      <c r="O74" s="64"/>
      <c r="P74" s="64"/>
      <c r="Q74" s="64"/>
    </row>
    <row r="75" spans="1:17" s="315" customFormat="1" x14ac:dyDescent="0.25">
      <c r="A75" s="284"/>
      <c r="B75" s="285"/>
      <c r="C75" s="138" t="s">
        <v>65</v>
      </c>
      <c r="D75" s="139" t="s">
        <v>66</v>
      </c>
      <c r="E75" s="188">
        <f>E58+E66+E72</f>
        <v>140194.37000000002</v>
      </c>
      <c r="F75" s="188">
        <f>F58+F66+F72</f>
        <v>199283.29</v>
      </c>
      <c r="G75" s="188">
        <f>G58+G66+G72</f>
        <v>163116.32999999999</v>
      </c>
      <c r="H75" s="188">
        <f>H58+H66+H72</f>
        <v>137837.85999999999</v>
      </c>
      <c r="I75" s="590">
        <f t="shared" si="22"/>
        <v>69.166792659836148</v>
      </c>
      <c r="J75" s="590">
        <f t="shared" si="23"/>
        <v>84.502796255899085</v>
      </c>
      <c r="K75" s="159"/>
      <c r="L75" s="159"/>
      <c r="M75" s="159"/>
      <c r="N75" s="159"/>
      <c r="O75" s="159"/>
      <c r="P75" s="159"/>
      <c r="Q75" s="159"/>
    </row>
    <row r="76" spans="1:17" s="62" customFormat="1" ht="28.5" x14ac:dyDescent="0.25">
      <c r="A76" s="100"/>
      <c r="B76" s="83">
        <v>66</v>
      </c>
      <c r="C76" s="274"/>
      <c r="D76" s="275" t="s">
        <v>58</v>
      </c>
      <c r="E76" s="109">
        <f>E77</f>
        <v>3957.25</v>
      </c>
      <c r="F76" s="109">
        <f>F77</f>
        <v>50500</v>
      </c>
      <c r="G76" s="109">
        <f>G77</f>
        <v>50500</v>
      </c>
      <c r="H76" s="109">
        <f t="shared" ref="H76" si="24">H77</f>
        <v>0</v>
      </c>
      <c r="I76" s="594">
        <f t="shared" si="22"/>
        <v>0</v>
      </c>
      <c r="J76" s="594">
        <f t="shared" si="23"/>
        <v>0</v>
      </c>
      <c r="K76" s="58"/>
      <c r="L76" s="58"/>
      <c r="M76" s="58"/>
      <c r="N76" s="58"/>
      <c r="O76" s="58"/>
      <c r="P76" s="58"/>
      <c r="Q76" s="58"/>
    </row>
    <row r="77" spans="1:17" s="316" customFormat="1" ht="28.5" x14ac:dyDescent="0.25">
      <c r="A77" s="82"/>
      <c r="B77" s="120">
        <v>663</v>
      </c>
      <c r="C77" s="296"/>
      <c r="D77" s="290" t="s">
        <v>67</v>
      </c>
      <c r="E77" s="52">
        <f>SUM(E78,E80)</f>
        <v>3957.25</v>
      </c>
      <c r="F77" s="52">
        <f>SUM(F78,F80)</f>
        <v>50500</v>
      </c>
      <c r="G77" s="52">
        <f>SUM(G78,G80)</f>
        <v>50500</v>
      </c>
      <c r="H77" s="52">
        <f t="shared" ref="H77" si="25">SUM(H78,H80)</f>
        <v>0</v>
      </c>
      <c r="I77" s="591">
        <f t="shared" si="22"/>
        <v>0</v>
      </c>
      <c r="J77" s="591">
        <f t="shared" si="23"/>
        <v>0</v>
      </c>
      <c r="K77" s="58"/>
      <c r="L77" s="58"/>
      <c r="M77" s="58"/>
      <c r="N77" s="58"/>
      <c r="O77" s="58"/>
      <c r="P77" s="58"/>
      <c r="Q77" s="58"/>
    </row>
    <row r="78" spans="1:17" s="316" customFormat="1" x14ac:dyDescent="0.25">
      <c r="A78" s="82"/>
      <c r="B78" s="92" t="s">
        <v>464</v>
      </c>
      <c r="C78" s="317"/>
      <c r="D78" s="278" t="s">
        <v>68</v>
      </c>
      <c r="E78" s="52">
        <f>SUM(E79)</f>
        <v>3957.25</v>
      </c>
      <c r="F78" s="52">
        <f>SUM(F79)</f>
        <v>50500</v>
      </c>
      <c r="G78" s="52">
        <f>SUM(G79)</f>
        <v>50500</v>
      </c>
      <c r="H78" s="52">
        <f t="shared" ref="H78" si="26">SUM(H79)</f>
        <v>0</v>
      </c>
      <c r="I78" s="591">
        <f t="shared" si="22"/>
        <v>0</v>
      </c>
      <c r="J78" s="591">
        <f t="shared" si="23"/>
        <v>0</v>
      </c>
      <c r="K78" s="58"/>
      <c r="L78" s="58"/>
      <c r="M78" s="58"/>
      <c r="N78" s="58"/>
      <c r="O78" s="58"/>
      <c r="P78" s="58"/>
      <c r="Q78" s="58"/>
    </row>
    <row r="79" spans="1:17" s="316" customFormat="1" x14ac:dyDescent="0.25">
      <c r="A79" s="82"/>
      <c r="B79" s="94" t="s">
        <v>463</v>
      </c>
      <c r="C79" s="318"/>
      <c r="D79" s="282" t="s">
        <v>68</v>
      </c>
      <c r="E79" s="89">
        <v>3957.25</v>
      </c>
      <c r="F79" s="89">
        <v>50500</v>
      </c>
      <c r="G79" s="89">
        <v>50500</v>
      </c>
      <c r="H79" s="89">
        <v>0</v>
      </c>
      <c r="I79" s="585">
        <f t="shared" si="22"/>
        <v>0</v>
      </c>
      <c r="J79" s="585">
        <f t="shared" si="23"/>
        <v>0</v>
      </c>
      <c r="K79" s="58"/>
      <c r="L79" s="58"/>
      <c r="M79" s="58"/>
      <c r="N79" s="58"/>
      <c r="O79" s="58"/>
      <c r="P79" s="58"/>
      <c r="Q79" s="58"/>
    </row>
    <row r="80" spans="1:17" s="64" customFormat="1" x14ac:dyDescent="0.25">
      <c r="A80" s="319"/>
      <c r="B80" s="92" t="s">
        <v>69</v>
      </c>
      <c r="C80" s="317"/>
      <c r="D80" s="278" t="s">
        <v>70</v>
      </c>
      <c r="E80" s="279"/>
      <c r="F80" s="279"/>
      <c r="G80" s="279"/>
      <c r="H80" s="279"/>
      <c r="I80" s="588">
        <f t="shared" si="22"/>
        <v>0</v>
      </c>
      <c r="J80" s="588">
        <f t="shared" si="23"/>
        <v>0</v>
      </c>
    </row>
    <row r="81" spans="1:17" s="65" customFormat="1" x14ac:dyDescent="0.25">
      <c r="A81" s="100"/>
      <c r="B81" s="320"/>
      <c r="C81" s="138" t="s">
        <v>71</v>
      </c>
      <c r="D81" s="139" t="s">
        <v>72</v>
      </c>
      <c r="E81" s="188">
        <f>SUM(E76)</f>
        <v>3957.25</v>
      </c>
      <c r="F81" s="188">
        <f>SUM(F76)</f>
        <v>50500</v>
      </c>
      <c r="G81" s="188">
        <f>SUM(G76)</f>
        <v>50500</v>
      </c>
      <c r="H81" s="188">
        <f>SUM(H76)</f>
        <v>0</v>
      </c>
      <c r="I81" s="590">
        <f t="shared" si="22"/>
        <v>0</v>
      </c>
      <c r="J81" s="590">
        <f t="shared" si="23"/>
        <v>0</v>
      </c>
      <c r="K81" s="64"/>
      <c r="L81" s="64"/>
      <c r="M81" s="64"/>
      <c r="N81" s="64"/>
      <c r="O81" s="64"/>
      <c r="P81" s="64"/>
      <c r="Q81" s="64"/>
    </row>
    <row r="82" spans="1:17" s="65" customFormat="1" ht="28.5" x14ac:dyDescent="0.25">
      <c r="A82" s="100"/>
      <c r="B82" s="297">
        <v>65</v>
      </c>
      <c r="C82" s="298"/>
      <c r="D82" s="299" t="s">
        <v>45</v>
      </c>
      <c r="E82" s="109">
        <f t="shared" ref="E82:H82" si="27">SUM(E83)</f>
        <v>8798.23</v>
      </c>
      <c r="F82" s="109">
        <f t="shared" si="27"/>
        <v>5500</v>
      </c>
      <c r="G82" s="109">
        <f t="shared" si="27"/>
        <v>5500</v>
      </c>
      <c r="H82" s="109">
        <f t="shared" si="27"/>
        <v>0</v>
      </c>
      <c r="I82" s="594">
        <f t="shared" si="22"/>
        <v>0</v>
      </c>
      <c r="J82" s="594">
        <f t="shared" si="23"/>
        <v>0</v>
      </c>
      <c r="K82" s="64"/>
      <c r="L82" s="64"/>
      <c r="M82" s="64"/>
      <c r="N82" s="64"/>
      <c r="O82" s="64"/>
      <c r="P82" s="64"/>
      <c r="Q82" s="64"/>
    </row>
    <row r="83" spans="1:17" s="65" customFormat="1" ht="14.25" x14ac:dyDescent="0.25">
      <c r="A83" s="100"/>
      <c r="B83" s="99">
        <v>652</v>
      </c>
      <c r="C83" s="300"/>
      <c r="D83" s="301" t="s">
        <v>46</v>
      </c>
      <c r="E83" s="52">
        <f t="shared" ref="E83:G84" si="28">E84</f>
        <v>8798.23</v>
      </c>
      <c r="F83" s="52">
        <f t="shared" si="28"/>
        <v>5500</v>
      </c>
      <c r="G83" s="52">
        <f t="shared" si="28"/>
        <v>5500</v>
      </c>
      <c r="H83" s="52">
        <f t="shared" ref="H83:H84" si="29">H84</f>
        <v>0</v>
      </c>
      <c r="I83" s="591">
        <f t="shared" si="22"/>
        <v>0</v>
      </c>
      <c r="J83" s="591">
        <f t="shared" si="23"/>
        <v>0</v>
      </c>
      <c r="K83" s="64"/>
      <c r="L83" s="64"/>
      <c r="M83" s="64"/>
      <c r="N83" s="64"/>
      <c r="O83" s="64"/>
      <c r="P83" s="64"/>
      <c r="Q83" s="64"/>
    </row>
    <row r="84" spans="1:17" s="65" customFormat="1" ht="14.25" x14ac:dyDescent="0.25">
      <c r="A84" s="100"/>
      <c r="B84" s="99">
        <v>6526</v>
      </c>
      <c r="C84" s="300"/>
      <c r="D84" s="301" t="s">
        <v>73</v>
      </c>
      <c r="E84" s="52">
        <f t="shared" si="28"/>
        <v>8798.23</v>
      </c>
      <c r="F84" s="52">
        <f t="shared" si="28"/>
        <v>5500</v>
      </c>
      <c r="G84" s="52">
        <f t="shared" si="28"/>
        <v>5500</v>
      </c>
      <c r="H84" s="52">
        <f t="shared" si="29"/>
        <v>0</v>
      </c>
      <c r="I84" s="591">
        <f t="shared" si="22"/>
        <v>0</v>
      </c>
      <c r="J84" s="591">
        <f t="shared" si="23"/>
        <v>0</v>
      </c>
      <c r="K84" s="64"/>
      <c r="L84" s="64"/>
      <c r="M84" s="64"/>
      <c r="N84" s="64"/>
      <c r="O84" s="64"/>
      <c r="P84" s="64"/>
      <c r="Q84" s="64"/>
    </row>
    <row r="85" spans="1:17" s="65" customFormat="1" x14ac:dyDescent="0.25">
      <c r="A85" s="100"/>
      <c r="B85" s="102">
        <v>65267</v>
      </c>
      <c r="C85" s="302"/>
      <c r="D85" s="321" t="s">
        <v>453</v>
      </c>
      <c r="E85" s="89">
        <v>8798.23</v>
      </c>
      <c r="F85" s="89">
        <v>5500</v>
      </c>
      <c r="G85" s="89">
        <v>5500</v>
      </c>
      <c r="H85" s="89">
        <v>0</v>
      </c>
      <c r="I85" s="585">
        <f t="shared" si="22"/>
        <v>0</v>
      </c>
      <c r="J85" s="585">
        <f t="shared" si="23"/>
        <v>0</v>
      </c>
      <c r="K85" s="64"/>
      <c r="L85" s="64"/>
      <c r="M85" s="64"/>
      <c r="N85" s="64"/>
      <c r="O85" s="64"/>
      <c r="P85" s="64"/>
      <c r="Q85" s="64"/>
    </row>
    <row r="86" spans="1:17" s="65" customFormat="1" x14ac:dyDescent="0.25">
      <c r="A86" s="100"/>
      <c r="B86" s="102"/>
      <c r="C86" s="322">
        <v>71</v>
      </c>
      <c r="D86" s="323" t="s">
        <v>74</v>
      </c>
      <c r="E86" s="188">
        <f>SUM(E82)</f>
        <v>8798.23</v>
      </c>
      <c r="F86" s="188">
        <f>SUM(F82)</f>
        <v>5500</v>
      </c>
      <c r="G86" s="188">
        <f>SUM(G82)</f>
        <v>5500</v>
      </c>
      <c r="H86" s="188">
        <f>SUM(H82)</f>
        <v>0</v>
      </c>
      <c r="I86" s="590">
        <f t="shared" si="22"/>
        <v>0</v>
      </c>
      <c r="J86" s="590">
        <f t="shared" si="23"/>
        <v>0</v>
      </c>
      <c r="K86" s="64"/>
      <c r="L86" s="64"/>
      <c r="M86" s="64"/>
      <c r="N86" s="64"/>
      <c r="O86" s="64"/>
      <c r="P86" s="64"/>
      <c r="Q86" s="64"/>
    </row>
    <row r="87" spans="1:17" s="62" customFormat="1" x14ac:dyDescent="0.25">
      <c r="A87" s="107">
        <v>7</v>
      </c>
      <c r="B87" s="107"/>
      <c r="C87" s="324"/>
      <c r="D87" s="325" t="s">
        <v>75</v>
      </c>
      <c r="E87" s="108">
        <f>SUM(E88)</f>
        <v>0</v>
      </c>
      <c r="F87" s="108">
        <f>SUM(F88)</f>
        <v>0</v>
      </c>
      <c r="G87" s="108">
        <f>SUM(G88)</f>
        <v>800</v>
      </c>
      <c r="H87" s="108">
        <f>SUM(H88)</f>
        <v>800</v>
      </c>
      <c r="I87" s="598">
        <f t="shared" si="22"/>
        <v>800</v>
      </c>
      <c r="J87" s="598">
        <f t="shared" si="23"/>
        <v>100</v>
      </c>
      <c r="K87" s="58"/>
      <c r="L87" s="58"/>
      <c r="M87" s="58"/>
      <c r="N87" s="58"/>
      <c r="O87" s="58"/>
      <c r="P87" s="58"/>
      <c r="Q87" s="58"/>
    </row>
    <row r="88" spans="1:17" s="62" customFormat="1" x14ac:dyDescent="0.25">
      <c r="A88" s="100"/>
      <c r="B88" s="84">
        <v>72</v>
      </c>
      <c r="C88" s="293"/>
      <c r="D88" s="294" t="s">
        <v>76</v>
      </c>
      <c r="E88" s="109">
        <f>SUM(E89,E91)</f>
        <v>0</v>
      </c>
      <c r="F88" s="109">
        <f>SUM(F89,F91)</f>
        <v>0</v>
      </c>
      <c r="G88" s="109">
        <f>SUM(G89,G91)</f>
        <v>800</v>
      </c>
      <c r="H88" s="109">
        <f>SUM(H89,H91)</f>
        <v>800</v>
      </c>
      <c r="I88" s="594">
        <f t="shared" si="22"/>
        <v>800</v>
      </c>
      <c r="J88" s="594">
        <f t="shared" si="23"/>
        <v>100</v>
      </c>
      <c r="K88" s="58"/>
      <c r="L88" s="58"/>
      <c r="M88" s="58"/>
      <c r="N88" s="58"/>
      <c r="O88" s="58"/>
      <c r="P88" s="58"/>
      <c r="Q88" s="58"/>
    </row>
    <row r="89" spans="1:17" s="65" customFormat="1" ht="14.25" x14ac:dyDescent="0.25">
      <c r="A89" s="100"/>
      <c r="B89" s="82">
        <v>721</v>
      </c>
      <c r="C89" s="296"/>
      <c r="D89" s="290" t="s">
        <v>77</v>
      </c>
      <c r="E89" s="52">
        <f>SUM(E90)</f>
        <v>0</v>
      </c>
      <c r="F89" s="52">
        <f>SUM(F90)</f>
        <v>0</v>
      </c>
      <c r="G89" s="52">
        <f>SUM(G90)</f>
        <v>0</v>
      </c>
      <c r="H89" s="52">
        <f>SUM(H90)</f>
        <v>0</v>
      </c>
      <c r="I89" s="591">
        <f t="shared" si="22"/>
        <v>0</v>
      </c>
      <c r="J89" s="591">
        <f t="shared" si="23"/>
        <v>0</v>
      </c>
      <c r="K89" s="64"/>
      <c r="L89" s="64"/>
      <c r="M89" s="64"/>
      <c r="N89" s="64"/>
      <c r="O89" s="64"/>
      <c r="P89" s="64"/>
      <c r="Q89" s="64"/>
    </row>
    <row r="90" spans="1:17" s="62" customFormat="1" x14ac:dyDescent="0.25">
      <c r="A90" s="100"/>
      <c r="B90" s="82">
        <v>7211</v>
      </c>
      <c r="C90" s="327"/>
      <c r="D90" s="290" t="s">
        <v>78</v>
      </c>
      <c r="E90" s="89"/>
      <c r="F90" s="89"/>
      <c r="G90" s="89"/>
      <c r="H90" s="89"/>
      <c r="I90" s="585">
        <f t="shared" si="22"/>
        <v>0</v>
      </c>
      <c r="J90" s="585">
        <f t="shared" si="23"/>
        <v>0</v>
      </c>
      <c r="K90" s="58"/>
      <c r="L90" s="58"/>
      <c r="M90" s="58"/>
      <c r="N90" s="58"/>
      <c r="O90" s="58"/>
      <c r="P90" s="58"/>
      <c r="Q90" s="58"/>
    </row>
    <row r="91" spans="1:17" s="65" customFormat="1" ht="14.25" x14ac:dyDescent="0.25">
      <c r="A91" s="328"/>
      <c r="B91" s="204">
        <v>723</v>
      </c>
      <c r="C91" s="329"/>
      <c r="D91" s="330" t="s">
        <v>79</v>
      </c>
      <c r="E91" s="331">
        <f>E92</f>
        <v>0</v>
      </c>
      <c r="F91" s="331">
        <f>F92</f>
        <v>0</v>
      </c>
      <c r="G91" s="331">
        <f>G92</f>
        <v>800</v>
      </c>
      <c r="H91" s="331">
        <f>H92</f>
        <v>800</v>
      </c>
      <c r="I91" s="599">
        <f t="shared" si="22"/>
        <v>800</v>
      </c>
      <c r="J91" s="599">
        <f t="shared" si="23"/>
        <v>100</v>
      </c>
      <c r="K91" s="64"/>
      <c r="L91" s="64"/>
      <c r="M91" s="64"/>
      <c r="N91" s="64"/>
      <c r="O91" s="64"/>
      <c r="P91" s="64"/>
      <c r="Q91" s="64"/>
    </row>
    <row r="92" spans="1:17" s="62" customFormat="1" x14ac:dyDescent="0.25">
      <c r="A92" s="328"/>
      <c r="B92" s="204">
        <v>7231</v>
      </c>
      <c r="C92" s="329"/>
      <c r="D92" s="330" t="s">
        <v>80</v>
      </c>
      <c r="E92" s="331">
        <f>E93</f>
        <v>0</v>
      </c>
      <c r="F92" s="331">
        <f>F93</f>
        <v>0</v>
      </c>
      <c r="G92" s="331">
        <f t="shared" ref="G92:H92" si="30">G93</f>
        <v>800</v>
      </c>
      <c r="H92" s="331">
        <f t="shared" si="30"/>
        <v>800</v>
      </c>
      <c r="I92" s="599">
        <f t="shared" si="22"/>
        <v>800</v>
      </c>
      <c r="J92" s="599">
        <f t="shared" si="23"/>
        <v>100</v>
      </c>
      <c r="K92" s="58"/>
      <c r="L92" s="58"/>
      <c r="M92" s="58"/>
      <c r="N92" s="58"/>
      <c r="O92" s="58"/>
      <c r="P92" s="58"/>
      <c r="Q92" s="58"/>
    </row>
    <row r="93" spans="1:17" s="62" customFormat="1" x14ac:dyDescent="0.25">
      <c r="A93" s="328"/>
      <c r="B93" s="208">
        <v>72313</v>
      </c>
      <c r="C93" s="332"/>
      <c r="D93" s="333" t="s">
        <v>607</v>
      </c>
      <c r="E93" s="334">
        <v>0</v>
      </c>
      <c r="F93" s="334">
        <v>0</v>
      </c>
      <c r="G93" s="334">
        <v>800</v>
      </c>
      <c r="H93" s="334">
        <v>800</v>
      </c>
      <c r="I93" s="600">
        <f t="shared" si="22"/>
        <v>800</v>
      </c>
      <c r="J93" s="600">
        <f t="shared" si="23"/>
        <v>100</v>
      </c>
      <c r="K93" s="58"/>
      <c r="L93" s="58"/>
      <c r="M93" s="58"/>
      <c r="N93" s="58"/>
      <c r="O93" s="58"/>
      <c r="P93" s="58"/>
      <c r="Q93" s="58"/>
    </row>
    <row r="94" spans="1:17" s="62" customFormat="1" ht="15.75" thickBot="1" x14ac:dyDescent="0.3">
      <c r="A94" s="328"/>
      <c r="B94" s="328"/>
      <c r="C94" s="322">
        <v>71</v>
      </c>
      <c r="D94" s="323" t="s">
        <v>74</v>
      </c>
      <c r="E94" s="215">
        <f>SUM(E87)</f>
        <v>0</v>
      </c>
      <c r="F94" s="215">
        <f>SUM(F87)</f>
        <v>0</v>
      </c>
      <c r="G94" s="215">
        <f>SUM(G87)</f>
        <v>800</v>
      </c>
      <c r="H94" s="215">
        <f>SUM(H87)</f>
        <v>800</v>
      </c>
      <c r="I94" s="601">
        <f t="shared" si="22"/>
        <v>800</v>
      </c>
      <c r="J94" s="601">
        <f t="shared" si="23"/>
        <v>100</v>
      </c>
      <c r="K94" s="58"/>
      <c r="L94" s="58"/>
      <c r="M94" s="58"/>
      <c r="N94" s="58"/>
      <c r="O94" s="58"/>
      <c r="P94" s="58"/>
      <c r="Q94" s="58"/>
    </row>
    <row r="95" spans="1:17" s="338" customFormat="1" ht="16.5" thickBot="1" x14ac:dyDescent="0.3">
      <c r="A95" s="815" t="s">
        <v>81</v>
      </c>
      <c r="B95" s="816"/>
      <c r="C95" s="816"/>
      <c r="D95" s="817"/>
      <c r="E95" s="335">
        <f>SUM(E8,E87)</f>
        <v>5100997.3000000007</v>
      </c>
      <c r="F95" s="335">
        <f>SUM(F8,F87)</f>
        <v>4702255.63</v>
      </c>
      <c r="G95" s="335">
        <f>SUM(G8,G87)</f>
        <v>5292700.84</v>
      </c>
      <c r="H95" s="336">
        <f>SUM(H8,H87)</f>
        <v>5342526.1499999994</v>
      </c>
      <c r="I95" s="602">
        <f t="shared" si="22"/>
        <v>113.61624229689102</v>
      </c>
      <c r="J95" s="644">
        <f t="shared" si="23"/>
        <v>100.9413966801872</v>
      </c>
      <c r="K95" s="337"/>
      <c r="L95" s="337"/>
      <c r="M95" s="337"/>
      <c r="N95" s="337"/>
      <c r="O95" s="337"/>
      <c r="P95" s="337"/>
      <c r="Q95" s="337"/>
    </row>
    <row r="96" spans="1:17" s="338" customFormat="1" ht="15.75" hidden="1" x14ac:dyDescent="0.25">
      <c r="A96" s="339"/>
      <c r="B96" s="339"/>
      <c r="C96" s="339"/>
      <c r="D96" s="339"/>
      <c r="E96" s="339"/>
      <c r="F96" s="340"/>
      <c r="G96" s="340"/>
      <c r="H96" s="340"/>
      <c r="I96" s="603"/>
      <c r="J96" s="586">
        <f t="shared" si="23"/>
        <v>0</v>
      </c>
      <c r="K96" s="337"/>
      <c r="L96" s="337"/>
      <c r="M96" s="337"/>
      <c r="N96" s="337"/>
      <c r="O96" s="337"/>
      <c r="P96" s="337"/>
      <c r="Q96" s="337"/>
    </row>
    <row r="97" spans="1:17" s="62" customFormat="1" x14ac:dyDescent="0.25">
      <c r="A97" s="60"/>
      <c r="B97" s="60"/>
      <c r="C97" s="60"/>
      <c r="D97" s="60"/>
      <c r="E97" s="60"/>
      <c r="F97" s="341"/>
      <c r="G97" s="341"/>
      <c r="H97" s="342"/>
      <c r="I97" s="343"/>
      <c r="J97" s="343"/>
      <c r="K97" s="58"/>
      <c r="L97" s="58"/>
      <c r="M97" s="58"/>
      <c r="N97" s="58"/>
      <c r="O97" s="58"/>
      <c r="P97" s="58"/>
      <c r="Q97" s="58"/>
    </row>
    <row r="98" spans="1:17" s="62" customFormat="1" hidden="1" x14ac:dyDescent="0.25">
      <c r="A98" s="60"/>
      <c r="B98" s="60"/>
      <c r="C98" s="60"/>
      <c r="D98" s="60"/>
      <c r="E98" s="60"/>
      <c r="F98" s="341"/>
      <c r="G98" s="341"/>
      <c r="H98" s="342"/>
      <c r="I98" s="343"/>
      <c r="J98" s="343"/>
      <c r="K98" s="58"/>
      <c r="L98" s="58"/>
      <c r="M98" s="58"/>
      <c r="N98" s="58"/>
      <c r="O98" s="58"/>
      <c r="P98" s="58"/>
      <c r="Q98" s="58"/>
    </row>
    <row r="99" spans="1:17" s="62" customFormat="1" hidden="1" x14ac:dyDescent="0.25">
      <c r="A99" s="60"/>
      <c r="B99" s="60"/>
      <c r="C99" s="60"/>
      <c r="D99" s="60"/>
      <c r="E99" s="60"/>
      <c r="F99" s="341"/>
      <c r="G99" s="341"/>
      <c r="H99" s="342"/>
      <c r="I99" s="343"/>
      <c r="J99" s="343"/>
      <c r="K99" s="58"/>
      <c r="L99" s="58"/>
      <c r="M99" s="58"/>
      <c r="N99" s="58"/>
      <c r="O99" s="58"/>
      <c r="P99" s="58"/>
      <c r="Q99" s="58"/>
    </row>
    <row r="100" spans="1:17" s="62" customFormat="1" hidden="1" x14ac:dyDescent="0.25">
      <c r="A100" s="59"/>
      <c r="B100" s="60"/>
      <c r="C100" s="60"/>
      <c r="D100" s="60"/>
      <c r="E100" s="60"/>
      <c r="F100" s="61"/>
      <c r="G100" s="61"/>
      <c r="H100" s="60"/>
      <c r="I100" s="344"/>
      <c r="J100" s="344"/>
      <c r="K100" s="58"/>
      <c r="L100" s="58"/>
      <c r="M100" s="58"/>
      <c r="N100" s="58"/>
      <c r="O100" s="58"/>
      <c r="P100" s="58"/>
      <c r="Q100" s="58"/>
    </row>
    <row r="101" spans="1:17" s="65" customFormat="1" ht="15.75" hidden="1" customHeight="1" x14ac:dyDescent="0.25">
      <c r="A101" s="812" t="s">
        <v>82</v>
      </c>
      <c r="B101" s="813"/>
      <c r="C101" s="813"/>
      <c r="D101" s="813"/>
      <c r="E101" s="813"/>
      <c r="F101" s="813"/>
      <c r="G101" s="813"/>
      <c r="H101" s="813"/>
      <c r="I101" s="813"/>
      <c r="J101" s="64"/>
      <c r="K101" s="64"/>
      <c r="L101" s="64"/>
      <c r="M101" s="64"/>
      <c r="N101" s="64"/>
      <c r="O101" s="64"/>
      <c r="P101" s="64"/>
      <c r="Q101" s="64"/>
    </row>
    <row r="102" spans="1:17" s="62" customFormat="1" ht="63" hidden="1" x14ac:dyDescent="0.25">
      <c r="A102" s="66" t="s">
        <v>3</v>
      </c>
      <c r="B102" s="66" t="s">
        <v>4</v>
      </c>
      <c r="C102" s="67" t="s">
        <v>5</v>
      </c>
      <c r="D102" s="68" t="s">
        <v>6</v>
      </c>
      <c r="E102" s="345"/>
      <c r="F102" s="346" t="s">
        <v>83</v>
      </c>
      <c r="G102" s="346"/>
      <c r="H102" s="347" t="s">
        <v>84</v>
      </c>
      <c r="I102" s="348" t="s">
        <v>85</v>
      </c>
      <c r="J102" s="348"/>
      <c r="K102" s="58"/>
      <c r="L102" s="58"/>
      <c r="M102" s="58"/>
      <c r="N102" s="58"/>
      <c r="O102" s="58"/>
      <c r="P102" s="58"/>
      <c r="Q102" s="58"/>
    </row>
    <row r="103" spans="1:17" s="62" customFormat="1" hidden="1" x14ac:dyDescent="0.25">
      <c r="A103" s="814">
        <v>1</v>
      </c>
      <c r="B103" s="814"/>
      <c r="C103" s="814"/>
      <c r="D103" s="814"/>
      <c r="E103" s="36"/>
      <c r="F103" s="349">
        <v>2</v>
      </c>
      <c r="G103" s="349"/>
      <c r="H103" s="38">
        <v>3</v>
      </c>
      <c r="I103" s="350">
        <v>4</v>
      </c>
      <c r="J103" s="350"/>
      <c r="K103" s="58"/>
      <c r="L103" s="58"/>
      <c r="M103" s="58"/>
      <c r="N103" s="58"/>
      <c r="O103" s="58"/>
      <c r="P103" s="58"/>
      <c r="Q103" s="58"/>
    </row>
    <row r="104" spans="1:17" s="62" customFormat="1" hidden="1" x14ac:dyDescent="0.25">
      <c r="A104" s="79" t="s">
        <v>86</v>
      </c>
      <c r="B104" s="79"/>
      <c r="C104" s="80"/>
      <c r="D104" s="72" t="s">
        <v>87</v>
      </c>
      <c r="E104" s="72"/>
      <c r="F104" s="81">
        <f>F105+F115+F148+F153+F157+F160</f>
        <v>0</v>
      </c>
      <c r="G104" s="81"/>
      <c r="H104" s="81">
        <f>H105+H115+H148+H153+H157+H160</f>
        <v>59190450.609999992</v>
      </c>
      <c r="I104" s="351">
        <f>I105+I115+I148+I157+I160</f>
        <v>0</v>
      </c>
      <c r="J104" s="351"/>
      <c r="K104" s="58"/>
      <c r="L104" s="58"/>
      <c r="M104" s="58"/>
      <c r="N104" s="58"/>
      <c r="O104" s="58"/>
      <c r="P104" s="58"/>
      <c r="Q104" s="58"/>
    </row>
    <row r="105" spans="1:17" s="62" customFormat="1" hidden="1" x14ac:dyDescent="0.25">
      <c r="A105" s="82"/>
      <c r="B105" s="83">
        <v>31</v>
      </c>
      <c r="C105" s="84"/>
      <c r="D105" s="85" t="s">
        <v>88</v>
      </c>
      <c r="E105" s="85"/>
      <c r="F105" s="86">
        <f>F106+F111+F113</f>
        <v>0</v>
      </c>
      <c r="G105" s="86"/>
      <c r="H105" s="86">
        <f>H106+H111+H113</f>
        <v>38266104.469999999</v>
      </c>
      <c r="I105" s="276">
        <f>I106+I111+I113</f>
        <v>0</v>
      </c>
      <c r="J105" s="276"/>
      <c r="K105" s="58"/>
      <c r="L105" s="58"/>
      <c r="M105" s="58"/>
      <c r="N105" s="58"/>
      <c r="O105" s="58"/>
      <c r="P105" s="58"/>
      <c r="Q105" s="58"/>
    </row>
    <row r="106" spans="1:17" s="65" customFormat="1" hidden="1" x14ac:dyDescent="0.25">
      <c r="A106" s="82"/>
      <c r="B106" s="87">
        <v>311</v>
      </c>
      <c r="C106" s="57"/>
      <c r="D106" s="82" t="s">
        <v>89</v>
      </c>
      <c r="E106" s="82"/>
      <c r="F106" s="52">
        <f>SUM(F107:F110)</f>
        <v>0</v>
      </c>
      <c r="G106" s="52"/>
      <c r="H106" s="52">
        <f>SUM(H107:H110)</f>
        <v>31479072.16</v>
      </c>
      <c r="I106" s="280">
        <f>SUM(I107:I110)</f>
        <v>0</v>
      </c>
      <c r="J106" s="280"/>
      <c r="K106" s="64"/>
      <c r="L106" s="64"/>
      <c r="M106" s="64"/>
      <c r="N106" s="64"/>
      <c r="O106" s="64"/>
      <c r="P106" s="64"/>
      <c r="Q106" s="64"/>
    </row>
    <row r="107" spans="1:17" s="91" customFormat="1" hidden="1" x14ac:dyDescent="0.25">
      <c r="A107" s="57"/>
      <c r="B107" s="88">
        <v>3111</v>
      </c>
      <c r="C107" s="57"/>
      <c r="D107" s="57" t="s">
        <v>90</v>
      </c>
      <c r="E107" s="57"/>
      <c r="F107" s="89"/>
      <c r="G107" s="89"/>
      <c r="H107" s="89">
        <v>26934798.879999999</v>
      </c>
      <c r="I107" s="352"/>
      <c r="J107" s="352"/>
      <c r="K107" s="90"/>
      <c r="L107" s="90"/>
      <c r="M107" s="90"/>
      <c r="N107" s="90"/>
      <c r="O107" s="90"/>
      <c r="P107" s="90"/>
      <c r="Q107" s="90"/>
    </row>
    <row r="108" spans="1:17" s="91" customFormat="1" hidden="1" x14ac:dyDescent="0.25">
      <c r="A108" s="57"/>
      <c r="B108" s="88" t="s">
        <v>91</v>
      </c>
      <c r="C108" s="57"/>
      <c r="D108" s="57" t="s">
        <v>92</v>
      </c>
      <c r="E108" s="57"/>
      <c r="F108" s="89"/>
      <c r="G108" s="89"/>
      <c r="H108" s="89">
        <v>0</v>
      </c>
      <c r="I108" s="352">
        <v>0</v>
      </c>
      <c r="J108" s="352"/>
      <c r="K108" s="90"/>
      <c r="L108" s="90"/>
      <c r="M108" s="90"/>
      <c r="N108" s="90"/>
      <c r="O108" s="90"/>
      <c r="P108" s="90"/>
      <c r="Q108" s="90"/>
    </row>
    <row r="109" spans="1:17" s="91" customFormat="1" hidden="1" x14ac:dyDescent="0.25">
      <c r="A109" s="57"/>
      <c r="B109" s="88" t="s">
        <v>93</v>
      </c>
      <c r="C109" s="57"/>
      <c r="D109" s="57" t="s">
        <v>94</v>
      </c>
      <c r="E109" s="57"/>
      <c r="F109" s="89"/>
      <c r="G109" s="89"/>
      <c r="H109" s="89">
        <v>2081601.57</v>
      </c>
      <c r="I109" s="352">
        <v>0</v>
      </c>
      <c r="J109" s="352"/>
      <c r="K109" s="90"/>
      <c r="L109" s="90"/>
      <c r="M109" s="90"/>
      <c r="N109" s="90"/>
      <c r="O109" s="90"/>
      <c r="P109" s="90"/>
      <c r="Q109" s="90"/>
    </row>
    <row r="110" spans="1:17" s="91" customFormat="1" hidden="1" x14ac:dyDescent="0.25">
      <c r="A110" s="57"/>
      <c r="B110" s="88" t="s">
        <v>95</v>
      </c>
      <c r="C110" s="57"/>
      <c r="D110" s="57" t="s">
        <v>96</v>
      </c>
      <c r="E110" s="57"/>
      <c r="F110" s="89"/>
      <c r="G110" s="89"/>
      <c r="H110" s="89">
        <v>2462671.71</v>
      </c>
      <c r="I110" s="352">
        <v>0</v>
      </c>
      <c r="J110" s="352"/>
      <c r="K110" s="90"/>
      <c r="L110" s="90"/>
      <c r="M110" s="90"/>
      <c r="N110" s="90"/>
      <c r="O110" s="90"/>
      <c r="P110" s="90"/>
      <c r="Q110" s="90"/>
    </row>
    <row r="111" spans="1:17" s="114" customFormat="1" hidden="1" x14ac:dyDescent="0.25">
      <c r="A111" s="82"/>
      <c r="B111" s="87" t="s">
        <v>97</v>
      </c>
      <c r="C111" s="82"/>
      <c r="D111" s="82" t="s">
        <v>98</v>
      </c>
      <c r="E111" s="82"/>
      <c r="F111" s="52">
        <f>SUM(F112)</f>
        <v>0</v>
      </c>
      <c r="G111" s="52"/>
      <c r="H111" s="52">
        <f>SUM(H112)</f>
        <v>1080214.8799999999</v>
      </c>
      <c r="I111" s="280">
        <f>SUM(I112)</f>
        <v>0</v>
      </c>
      <c r="J111" s="280"/>
      <c r="K111" s="113"/>
      <c r="L111" s="113"/>
      <c r="M111" s="113"/>
      <c r="N111" s="113"/>
      <c r="O111" s="113"/>
      <c r="P111" s="113"/>
      <c r="Q111" s="113"/>
    </row>
    <row r="112" spans="1:17" s="91" customFormat="1" hidden="1" x14ac:dyDescent="0.25">
      <c r="A112" s="57"/>
      <c r="B112" s="88" t="s">
        <v>99</v>
      </c>
      <c r="C112" s="57"/>
      <c r="D112" s="57" t="s">
        <v>98</v>
      </c>
      <c r="E112" s="57"/>
      <c r="F112" s="89"/>
      <c r="G112" s="89"/>
      <c r="H112" s="89">
        <v>1080214.8799999999</v>
      </c>
      <c r="I112" s="352"/>
      <c r="J112" s="352"/>
      <c r="K112" s="90"/>
      <c r="L112" s="90"/>
      <c r="M112" s="90"/>
      <c r="N112" s="90"/>
      <c r="O112" s="90"/>
      <c r="P112" s="90"/>
      <c r="Q112" s="90"/>
    </row>
    <row r="113" spans="1:17" s="91" customFormat="1" hidden="1" x14ac:dyDescent="0.25">
      <c r="A113" s="82"/>
      <c r="B113" s="92">
        <v>313</v>
      </c>
      <c r="C113" s="82"/>
      <c r="D113" s="82" t="s">
        <v>100</v>
      </c>
      <c r="E113" s="82"/>
      <c r="F113" s="93">
        <f>SUM(F114:F114)</f>
        <v>0</v>
      </c>
      <c r="G113" s="93"/>
      <c r="H113" s="93">
        <f>SUM(H114:H114)</f>
        <v>5706817.4299999997</v>
      </c>
      <c r="I113" s="353">
        <f>SUM(I114:I114)</f>
        <v>0</v>
      </c>
      <c r="J113" s="353"/>
      <c r="K113" s="90"/>
      <c r="L113" s="90"/>
      <c r="M113" s="90"/>
      <c r="N113" s="90"/>
      <c r="O113" s="90"/>
      <c r="P113" s="90"/>
      <c r="Q113" s="90"/>
    </row>
    <row r="114" spans="1:17" s="62" customFormat="1" hidden="1" x14ac:dyDescent="0.25">
      <c r="A114" s="57"/>
      <c r="B114" s="94">
        <v>3132</v>
      </c>
      <c r="C114" s="57"/>
      <c r="D114" s="57" t="s">
        <v>101</v>
      </c>
      <c r="E114" s="57"/>
      <c r="F114" s="141"/>
      <c r="G114" s="141"/>
      <c r="H114" s="141">
        <v>5706817.4299999997</v>
      </c>
      <c r="I114" s="354"/>
      <c r="J114" s="354"/>
      <c r="K114" s="58"/>
      <c r="L114" s="58"/>
      <c r="M114" s="58"/>
      <c r="N114" s="58"/>
      <c r="O114" s="58"/>
      <c r="P114" s="58"/>
      <c r="Q114" s="58"/>
    </row>
    <row r="115" spans="1:17" s="62" customFormat="1" hidden="1" x14ac:dyDescent="0.25">
      <c r="A115" s="82"/>
      <c r="B115" s="83">
        <v>32</v>
      </c>
      <c r="C115" s="84"/>
      <c r="D115" s="85" t="s">
        <v>102</v>
      </c>
      <c r="E115" s="85"/>
      <c r="F115" s="86">
        <f>F116+F121+F128+F138+F140</f>
        <v>0</v>
      </c>
      <c r="G115" s="86"/>
      <c r="H115" s="86">
        <f>H116+H121+H128+H138+H140</f>
        <v>19837046.129999999</v>
      </c>
      <c r="I115" s="276">
        <f>I116+I121+I128+I138+I140</f>
        <v>0</v>
      </c>
      <c r="J115" s="276"/>
      <c r="K115" s="58"/>
      <c r="L115" s="58"/>
      <c r="M115" s="58"/>
      <c r="N115" s="58"/>
      <c r="O115" s="58"/>
      <c r="P115" s="58"/>
      <c r="Q115" s="58"/>
    </row>
    <row r="116" spans="1:17" s="62" customFormat="1" hidden="1" x14ac:dyDescent="0.25">
      <c r="A116" s="82"/>
      <c r="B116" s="87">
        <v>321</v>
      </c>
      <c r="C116" s="82"/>
      <c r="D116" s="82" t="s">
        <v>103</v>
      </c>
      <c r="E116" s="82"/>
      <c r="F116" s="52">
        <f>SUM(F117:F120)</f>
        <v>0</v>
      </c>
      <c r="G116" s="52"/>
      <c r="H116" s="52">
        <f>SUM(H117:H120)</f>
        <v>1286916.72</v>
      </c>
      <c r="I116" s="280">
        <f>SUM(I117:I120)</f>
        <v>0</v>
      </c>
      <c r="J116" s="280"/>
      <c r="K116" s="58"/>
      <c r="L116" s="58"/>
      <c r="M116" s="58"/>
      <c r="N116" s="58"/>
      <c r="O116" s="58"/>
      <c r="P116" s="58"/>
      <c r="Q116" s="58"/>
    </row>
    <row r="117" spans="1:17" s="116" customFormat="1" hidden="1" x14ac:dyDescent="0.25">
      <c r="A117" s="57"/>
      <c r="B117" s="88" t="s">
        <v>104</v>
      </c>
      <c r="C117" s="57"/>
      <c r="D117" s="57" t="s">
        <v>105</v>
      </c>
      <c r="E117" s="57"/>
      <c r="F117" s="89"/>
      <c r="G117" s="89"/>
      <c r="H117" s="89">
        <v>58092.24</v>
      </c>
      <c r="I117" s="352"/>
      <c r="J117" s="352"/>
      <c r="K117" s="115"/>
      <c r="L117" s="115"/>
      <c r="M117" s="115"/>
      <c r="N117" s="115"/>
      <c r="O117" s="115"/>
      <c r="P117" s="115"/>
      <c r="Q117" s="115"/>
    </row>
    <row r="118" spans="1:17" s="62" customFormat="1" hidden="1" x14ac:dyDescent="0.25">
      <c r="A118" s="57"/>
      <c r="B118" s="88" t="s">
        <v>106</v>
      </c>
      <c r="C118" s="57"/>
      <c r="D118" s="98" t="s">
        <v>107</v>
      </c>
      <c r="E118" s="98"/>
      <c r="F118" s="89"/>
      <c r="G118" s="89"/>
      <c r="H118" s="89">
        <v>1157835.7</v>
      </c>
      <c r="I118" s="352"/>
      <c r="J118" s="352"/>
      <c r="K118" s="117"/>
      <c r="L118" s="117"/>
      <c r="M118" s="58"/>
      <c r="N118" s="58"/>
      <c r="O118" s="58"/>
      <c r="P118" s="58"/>
      <c r="Q118" s="58"/>
    </row>
    <row r="119" spans="1:17" s="62" customFormat="1" hidden="1" x14ac:dyDescent="0.25">
      <c r="A119" s="57"/>
      <c r="B119" s="88" t="s">
        <v>108</v>
      </c>
      <c r="C119" s="57"/>
      <c r="D119" s="98" t="s">
        <v>109</v>
      </c>
      <c r="E119" s="98"/>
      <c r="F119" s="89"/>
      <c r="G119" s="89"/>
      <c r="H119" s="89">
        <v>68599.77</v>
      </c>
      <c r="I119" s="352"/>
      <c r="J119" s="352"/>
      <c r="K119" s="58"/>
      <c r="L119" s="58"/>
      <c r="M119" s="58"/>
      <c r="N119" s="58"/>
      <c r="O119" s="58"/>
      <c r="P119" s="58"/>
      <c r="Q119" s="58"/>
    </row>
    <row r="120" spans="1:17" s="62" customFormat="1" hidden="1" x14ac:dyDescent="0.25">
      <c r="A120" s="57"/>
      <c r="B120" s="88" t="s">
        <v>110</v>
      </c>
      <c r="C120" s="57"/>
      <c r="D120" s="98" t="s">
        <v>111</v>
      </c>
      <c r="E120" s="98"/>
      <c r="F120" s="89"/>
      <c r="G120" s="89"/>
      <c r="H120" s="89">
        <v>2389.0100000000002</v>
      </c>
      <c r="I120" s="352">
        <v>0</v>
      </c>
      <c r="J120" s="352"/>
      <c r="K120" s="58"/>
      <c r="L120" s="58"/>
      <c r="M120" s="58"/>
      <c r="N120" s="58"/>
      <c r="O120" s="58"/>
      <c r="P120" s="58"/>
      <c r="Q120" s="58"/>
    </row>
    <row r="121" spans="1:17" s="65" customFormat="1" ht="14.25" hidden="1" x14ac:dyDescent="0.25">
      <c r="A121" s="82"/>
      <c r="B121" s="87" t="s">
        <v>112</v>
      </c>
      <c r="C121" s="82"/>
      <c r="D121" s="97" t="s">
        <v>113</v>
      </c>
      <c r="E121" s="97"/>
      <c r="F121" s="52">
        <f>SUM(F122:F127)</f>
        <v>0</v>
      </c>
      <c r="G121" s="52"/>
      <c r="H121" s="52">
        <f>SUM(H122:H127)</f>
        <v>14671871.550000001</v>
      </c>
      <c r="I121" s="280">
        <f>SUM(I122:I127)</f>
        <v>0</v>
      </c>
      <c r="J121" s="280"/>
      <c r="K121" s="64"/>
      <c r="L121" s="64"/>
      <c r="M121" s="64"/>
      <c r="N121" s="64"/>
      <c r="O121" s="64"/>
      <c r="P121" s="64"/>
      <c r="Q121" s="64"/>
    </row>
    <row r="122" spans="1:17" s="65" customFormat="1" hidden="1" x14ac:dyDescent="0.25">
      <c r="A122" s="82"/>
      <c r="B122" s="88" t="s">
        <v>114</v>
      </c>
      <c r="C122" s="82"/>
      <c r="D122" s="57" t="s">
        <v>115</v>
      </c>
      <c r="E122" s="57"/>
      <c r="F122" s="89"/>
      <c r="G122" s="89"/>
      <c r="H122" s="89">
        <v>491365.97</v>
      </c>
      <c r="I122" s="352"/>
      <c r="J122" s="352"/>
      <c r="K122" s="64"/>
      <c r="L122" s="64"/>
      <c r="M122" s="64"/>
      <c r="N122" s="64"/>
      <c r="O122" s="64"/>
      <c r="P122" s="64"/>
      <c r="Q122" s="64"/>
    </row>
    <row r="123" spans="1:17" s="65" customFormat="1" hidden="1" x14ac:dyDescent="0.25">
      <c r="A123" s="82"/>
      <c r="B123" s="88" t="s">
        <v>116</v>
      </c>
      <c r="C123" s="82"/>
      <c r="D123" s="57" t="s">
        <v>117</v>
      </c>
      <c r="E123" s="57"/>
      <c r="F123" s="89"/>
      <c r="G123" s="89"/>
      <c r="H123" s="89">
        <v>11982425.029999999</v>
      </c>
      <c r="I123" s="352"/>
      <c r="J123" s="352"/>
      <c r="K123" s="64"/>
      <c r="L123" s="64"/>
      <c r="M123" s="64"/>
      <c r="N123" s="64"/>
      <c r="O123" s="64"/>
      <c r="P123" s="64"/>
      <c r="Q123" s="64"/>
    </row>
    <row r="124" spans="1:17" s="65" customFormat="1" hidden="1" x14ac:dyDescent="0.25">
      <c r="A124" s="82"/>
      <c r="B124" s="88" t="s">
        <v>118</v>
      </c>
      <c r="C124" s="82"/>
      <c r="D124" s="57" t="s">
        <v>119</v>
      </c>
      <c r="E124" s="57"/>
      <c r="F124" s="89"/>
      <c r="G124" s="89"/>
      <c r="H124" s="89">
        <v>1964258.67</v>
      </c>
      <c r="I124" s="352"/>
      <c r="J124" s="352"/>
      <c r="K124" s="64"/>
      <c r="L124" s="64"/>
      <c r="M124" s="64"/>
      <c r="N124" s="64"/>
      <c r="O124" s="64"/>
      <c r="P124" s="64"/>
      <c r="Q124" s="64"/>
    </row>
    <row r="125" spans="1:17" s="65" customFormat="1" hidden="1" x14ac:dyDescent="0.25">
      <c r="A125" s="82"/>
      <c r="B125" s="88" t="s">
        <v>120</v>
      </c>
      <c r="C125" s="82"/>
      <c r="D125" s="98" t="s">
        <v>121</v>
      </c>
      <c r="E125" s="98"/>
      <c r="F125" s="89"/>
      <c r="G125" s="89"/>
      <c r="H125" s="89">
        <v>150568.31</v>
      </c>
      <c r="I125" s="352"/>
      <c r="J125" s="352"/>
      <c r="K125" s="64"/>
      <c r="L125" s="64"/>
      <c r="M125" s="64"/>
      <c r="N125" s="64"/>
      <c r="O125" s="64"/>
      <c r="P125" s="64"/>
      <c r="Q125" s="64"/>
    </row>
    <row r="126" spans="1:17" s="65" customFormat="1" hidden="1" x14ac:dyDescent="0.25">
      <c r="A126" s="82"/>
      <c r="B126" s="88" t="s">
        <v>122</v>
      </c>
      <c r="C126" s="82"/>
      <c r="D126" s="98" t="s">
        <v>123</v>
      </c>
      <c r="E126" s="98"/>
      <c r="F126" s="89"/>
      <c r="G126" s="89"/>
      <c r="H126" s="89">
        <v>63743.31</v>
      </c>
      <c r="I126" s="352"/>
      <c r="J126" s="352"/>
      <c r="K126" s="64"/>
      <c r="L126" s="64"/>
      <c r="M126" s="64"/>
      <c r="N126" s="64"/>
      <c r="O126" s="64"/>
      <c r="P126" s="64"/>
      <c r="Q126" s="64"/>
    </row>
    <row r="127" spans="1:17" s="65" customFormat="1" hidden="1" x14ac:dyDescent="0.25">
      <c r="A127" s="82"/>
      <c r="B127" s="88" t="s">
        <v>124</v>
      </c>
      <c r="C127" s="82"/>
      <c r="D127" s="98" t="s">
        <v>125</v>
      </c>
      <c r="E127" s="98"/>
      <c r="F127" s="89"/>
      <c r="G127" s="89"/>
      <c r="H127" s="89">
        <v>19510.259999999998</v>
      </c>
      <c r="I127" s="352">
        <v>0</v>
      </c>
      <c r="J127" s="352"/>
      <c r="K127" s="64"/>
      <c r="L127" s="64"/>
      <c r="M127" s="64"/>
      <c r="N127" s="64"/>
      <c r="O127" s="64"/>
      <c r="P127" s="64"/>
      <c r="Q127" s="64"/>
    </row>
    <row r="128" spans="1:17" s="65" customFormat="1" ht="14.25" hidden="1" x14ac:dyDescent="0.25">
      <c r="A128" s="82"/>
      <c r="B128" s="87" t="s">
        <v>126</v>
      </c>
      <c r="C128" s="82"/>
      <c r="D128" s="97" t="s">
        <v>127</v>
      </c>
      <c r="E128" s="97"/>
      <c r="F128" s="52">
        <f>SUM(F129:F137)</f>
        <v>0</v>
      </c>
      <c r="G128" s="52"/>
      <c r="H128" s="52">
        <f>SUM(H129:H137)</f>
        <v>3417555.09</v>
      </c>
      <c r="I128" s="280">
        <f>SUM(I129:I137)</f>
        <v>0</v>
      </c>
      <c r="J128" s="280"/>
      <c r="K128" s="64"/>
      <c r="L128" s="64"/>
      <c r="M128" s="64"/>
      <c r="N128" s="64"/>
      <c r="O128" s="64"/>
      <c r="P128" s="64"/>
      <c r="Q128" s="64"/>
    </row>
    <row r="129" spans="1:17" s="65" customFormat="1" hidden="1" x14ac:dyDescent="0.25">
      <c r="A129" s="82"/>
      <c r="B129" s="88" t="s">
        <v>128</v>
      </c>
      <c r="C129" s="82"/>
      <c r="D129" s="98" t="s">
        <v>129</v>
      </c>
      <c r="E129" s="98"/>
      <c r="F129" s="89"/>
      <c r="G129" s="89"/>
      <c r="H129" s="89">
        <v>186853.41</v>
      </c>
      <c r="I129" s="352"/>
      <c r="J129" s="352"/>
      <c r="L129" s="64"/>
      <c r="M129" s="64"/>
      <c r="N129" s="64"/>
      <c r="O129" s="64"/>
      <c r="P129" s="64"/>
      <c r="Q129" s="64"/>
    </row>
    <row r="130" spans="1:17" s="65" customFormat="1" hidden="1" x14ac:dyDescent="0.25">
      <c r="A130" s="82"/>
      <c r="B130" s="88" t="s">
        <v>130</v>
      </c>
      <c r="C130" s="82"/>
      <c r="D130" s="98" t="s">
        <v>131</v>
      </c>
      <c r="E130" s="98"/>
      <c r="F130" s="89"/>
      <c r="G130" s="89"/>
      <c r="H130" s="89">
        <v>307253.31</v>
      </c>
      <c r="I130" s="352"/>
      <c r="J130" s="352"/>
      <c r="K130" s="64"/>
      <c r="L130" s="64"/>
      <c r="M130" s="64"/>
      <c r="N130" s="64"/>
      <c r="O130" s="64"/>
      <c r="P130" s="64"/>
      <c r="Q130" s="64"/>
    </row>
    <row r="131" spans="1:17" s="65" customFormat="1" hidden="1" x14ac:dyDescent="0.25">
      <c r="A131" s="82"/>
      <c r="B131" s="88" t="s">
        <v>132</v>
      </c>
      <c r="C131" s="82"/>
      <c r="D131" s="98" t="s">
        <v>133</v>
      </c>
      <c r="E131" s="98"/>
      <c r="F131" s="89"/>
      <c r="G131" s="89"/>
      <c r="H131" s="89">
        <v>25250.65</v>
      </c>
      <c r="I131" s="352"/>
      <c r="J131" s="352"/>
      <c r="K131" s="64"/>
      <c r="L131" s="64"/>
      <c r="M131" s="64"/>
      <c r="N131" s="64"/>
      <c r="O131" s="64"/>
      <c r="P131" s="64"/>
      <c r="Q131" s="64"/>
    </row>
    <row r="132" spans="1:17" s="65" customFormat="1" hidden="1" x14ac:dyDescent="0.25">
      <c r="A132" s="82"/>
      <c r="B132" s="102" t="s">
        <v>134</v>
      </c>
      <c r="C132" s="103"/>
      <c r="D132" s="104" t="s">
        <v>135</v>
      </c>
      <c r="E132" s="104"/>
      <c r="F132" s="89"/>
      <c r="G132" s="89"/>
      <c r="H132" s="89">
        <v>772450.32</v>
      </c>
      <c r="I132" s="352"/>
      <c r="J132" s="352"/>
      <c r="K132" s="64"/>
      <c r="L132" s="64"/>
      <c r="M132" s="64"/>
      <c r="N132" s="64"/>
      <c r="O132" s="64"/>
      <c r="P132" s="64"/>
      <c r="Q132" s="64"/>
    </row>
    <row r="133" spans="1:17" s="65" customFormat="1" hidden="1" x14ac:dyDescent="0.25">
      <c r="A133" s="82"/>
      <c r="B133" s="102">
        <v>3235</v>
      </c>
      <c r="C133" s="103"/>
      <c r="D133" s="104" t="s">
        <v>136</v>
      </c>
      <c r="E133" s="104"/>
      <c r="F133" s="89"/>
      <c r="G133" s="89"/>
      <c r="H133" s="89">
        <v>122502.08</v>
      </c>
      <c r="I133" s="352"/>
      <c r="J133" s="352"/>
      <c r="K133" s="64"/>
      <c r="L133" s="64"/>
      <c r="M133" s="64"/>
      <c r="N133" s="64"/>
      <c r="O133" s="64"/>
      <c r="P133" s="64"/>
      <c r="Q133" s="64"/>
    </row>
    <row r="134" spans="1:17" s="65" customFormat="1" hidden="1" x14ac:dyDescent="0.25">
      <c r="A134" s="82"/>
      <c r="B134" s="102">
        <v>3236</v>
      </c>
      <c r="C134" s="103"/>
      <c r="D134" s="104" t="s">
        <v>137</v>
      </c>
      <c r="E134" s="104"/>
      <c r="F134" s="89"/>
      <c r="G134" s="89"/>
      <c r="H134" s="89">
        <v>677215.88</v>
      </c>
      <c r="I134" s="352"/>
      <c r="J134" s="352"/>
      <c r="K134" s="64"/>
      <c r="L134" s="64"/>
      <c r="M134" s="64"/>
      <c r="N134" s="64"/>
      <c r="O134" s="64"/>
      <c r="P134" s="64"/>
      <c r="Q134" s="64"/>
    </row>
    <row r="135" spans="1:17" s="65" customFormat="1" hidden="1" x14ac:dyDescent="0.25">
      <c r="A135" s="82"/>
      <c r="B135" s="102">
        <v>3237</v>
      </c>
      <c r="C135" s="103"/>
      <c r="D135" s="104" t="s">
        <v>138</v>
      </c>
      <c r="E135" s="104"/>
      <c r="F135" s="89"/>
      <c r="G135" s="89"/>
      <c r="H135" s="89">
        <v>771792.81</v>
      </c>
      <c r="I135" s="352"/>
      <c r="J135" s="352"/>
      <c r="K135" s="64"/>
      <c r="L135" s="64"/>
      <c r="M135" s="64"/>
      <c r="N135" s="64"/>
      <c r="O135" s="64"/>
      <c r="P135" s="64"/>
      <c r="Q135" s="64"/>
    </row>
    <row r="136" spans="1:17" s="65" customFormat="1" hidden="1" x14ac:dyDescent="0.25">
      <c r="A136" s="82"/>
      <c r="B136" s="102" t="s">
        <v>139</v>
      </c>
      <c r="C136" s="103"/>
      <c r="D136" s="104" t="s">
        <v>140</v>
      </c>
      <c r="E136" s="104"/>
      <c r="F136" s="89"/>
      <c r="G136" s="89"/>
      <c r="H136" s="89">
        <v>194855.26</v>
      </c>
      <c r="I136" s="352"/>
      <c r="J136" s="352"/>
      <c r="K136" s="64"/>
      <c r="L136" s="64"/>
      <c r="M136" s="64"/>
      <c r="N136" s="64"/>
      <c r="O136" s="64"/>
      <c r="P136" s="64"/>
      <c r="Q136" s="64"/>
    </row>
    <row r="137" spans="1:17" s="62" customFormat="1" hidden="1" x14ac:dyDescent="0.25">
      <c r="A137" s="57"/>
      <c r="B137" s="102" t="s">
        <v>141</v>
      </c>
      <c r="C137" s="103"/>
      <c r="D137" s="104" t="s">
        <v>142</v>
      </c>
      <c r="E137" s="104"/>
      <c r="F137" s="89"/>
      <c r="G137" s="89"/>
      <c r="H137" s="89">
        <v>359381.37</v>
      </c>
      <c r="I137" s="352"/>
      <c r="J137" s="352"/>
      <c r="K137" s="58"/>
      <c r="L137" s="58"/>
      <c r="M137" s="58"/>
      <c r="N137" s="58"/>
      <c r="O137" s="58"/>
      <c r="P137" s="58"/>
      <c r="Q137" s="58"/>
    </row>
    <row r="138" spans="1:17" s="62" customFormat="1" hidden="1" x14ac:dyDescent="0.25">
      <c r="A138" s="57"/>
      <c r="B138" s="92">
        <v>324</v>
      </c>
      <c r="C138" s="100"/>
      <c r="D138" s="118" t="s">
        <v>143</v>
      </c>
      <c r="E138" s="118"/>
      <c r="F138" s="52">
        <f>SUM(F139)</f>
        <v>0</v>
      </c>
      <c r="G138" s="52"/>
      <c r="H138" s="52">
        <f>SUM(H139)</f>
        <v>17784.86</v>
      </c>
      <c r="I138" s="280">
        <f>SUM(I139)</f>
        <v>0</v>
      </c>
      <c r="J138" s="280"/>
      <c r="K138" s="58"/>
      <c r="L138" s="58"/>
      <c r="M138" s="58"/>
      <c r="N138" s="58"/>
      <c r="O138" s="58"/>
      <c r="P138" s="58"/>
      <c r="Q138" s="58"/>
    </row>
    <row r="139" spans="1:17" s="62" customFormat="1" hidden="1" x14ac:dyDescent="0.25">
      <c r="A139" s="57"/>
      <c r="B139" s="94">
        <v>3241</v>
      </c>
      <c r="C139" s="100"/>
      <c r="D139" s="119" t="s">
        <v>143</v>
      </c>
      <c r="E139" s="119"/>
      <c r="F139" s="89"/>
      <c r="G139" s="89"/>
      <c r="H139" s="89">
        <v>17784.86</v>
      </c>
      <c r="I139" s="352">
        <v>0</v>
      </c>
      <c r="J139" s="352"/>
      <c r="K139" s="58"/>
      <c r="L139" s="58"/>
      <c r="M139" s="58"/>
      <c r="N139" s="58"/>
      <c r="O139" s="58"/>
      <c r="P139" s="58"/>
      <c r="Q139" s="58"/>
    </row>
    <row r="140" spans="1:17" s="62" customFormat="1" hidden="1" x14ac:dyDescent="0.25">
      <c r="A140" s="57"/>
      <c r="B140" s="99">
        <v>329</v>
      </c>
      <c r="C140" s="100"/>
      <c r="D140" s="101" t="s">
        <v>144</v>
      </c>
      <c r="E140" s="101"/>
      <c r="F140" s="52">
        <f>SUM(F141:F147)</f>
        <v>0</v>
      </c>
      <c r="G140" s="52"/>
      <c r="H140" s="52">
        <f>SUM(H141:H147)</f>
        <v>442917.91000000003</v>
      </c>
      <c r="I140" s="280">
        <f>SUM(I141:I147)</f>
        <v>0</v>
      </c>
      <c r="J140" s="280"/>
      <c r="K140" s="58"/>
      <c r="L140" s="58"/>
      <c r="M140" s="58"/>
      <c r="N140" s="58"/>
      <c r="O140" s="58"/>
      <c r="P140" s="58"/>
      <c r="Q140" s="58"/>
    </row>
    <row r="141" spans="1:17" s="62" customFormat="1" hidden="1" x14ac:dyDescent="0.25">
      <c r="A141" s="57"/>
      <c r="B141" s="102" t="s">
        <v>145</v>
      </c>
      <c r="C141" s="103"/>
      <c r="D141" s="119" t="s">
        <v>146</v>
      </c>
      <c r="E141" s="119"/>
      <c r="F141" s="89"/>
      <c r="G141" s="89"/>
      <c r="H141" s="89">
        <v>54577.87</v>
      </c>
      <c r="I141" s="352"/>
      <c r="J141" s="352"/>
      <c r="K141" s="58"/>
      <c r="L141" s="58"/>
      <c r="M141" s="58"/>
      <c r="N141" s="58"/>
      <c r="O141" s="58"/>
      <c r="P141" s="58"/>
      <c r="Q141" s="58"/>
    </row>
    <row r="142" spans="1:17" s="62" customFormat="1" hidden="1" x14ac:dyDescent="0.25">
      <c r="A142" s="57"/>
      <c r="B142" s="102">
        <v>3292</v>
      </c>
      <c r="C142" s="103"/>
      <c r="D142" s="104" t="s">
        <v>147</v>
      </c>
      <c r="E142" s="104"/>
      <c r="F142" s="89"/>
      <c r="G142" s="89"/>
      <c r="H142" s="89">
        <v>215255.56</v>
      </c>
      <c r="I142" s="352"/>
      <c r="J142" s="352"/>
      <c r="K142" s="58"/>
      <c r="L142" s="58"/>
      <c r="M142" s="58"/>
      <c r="N142" s="58"/>
      <c r="O142" s="58"/>
      <c r="P142" s="58"/>
      <c r="Q142" s="58"/>
    </row>
    <row r="143" spans="1:17" s="62" customFormat="1" hidden="1" x14ac:dyDescent="0.25">
      <c r="A143" s="57"/>
      <c r="B143" s="102">
        <v>3293</v>
      </c>
      <c r="C143" s="103"/>
      <c r="D143" s="104" t="s">
        <v>148</v>
      </c>
      <c r="E143" s="104"/>
      <c r="F143" s="89"/>
      <c r="G143" s="89"/>
      <c r="H143" s="89">
        <v>9987.5300000000007</v>
      </c>
      <c r="I143" s="352"/>
      <c r="J143" s="352"/>
      <c r="K143" s="58"/>
      <c r="L143" s="58"/>
      <c r="M143" s="58"/>
      <c r="N143" s="58"/>
      <c r="O143" s="58"/>
      <c r="P143" s="58"/>
      <c r="Q143" s="58"/>
    </row>
    <row r="144" spans="1:17" s="62" customFormat="1" hidden="1" x14ac:dyDescent="0.25">
      <c r="A144" s="57"/>
      <c r="B144" s="102">
        <v>3294</v>
      </c>
      <c r="C144" s="103"/>
      <c r="D144" s="104" t="s">
        <v>149</v>
      </c>
      <c r="E144" s="104"/>
      <c r="F144" s="89"/>
      <c r="G144" s="89"/>
      <c r="H144" s="89">
        <v>17118.32</v>
      </c>
      <c r="I144" s="352"/>
      <c r="J144" s="352"/>
      <c r="K144" s="58"/>
      <c r="L144" s="58"/>
      <c r="M144" s="58"/>
      <c r="N144" s="58"/>
      <c r="O144" s="58"/>
      <c r="P144" s="58"/>
      <c r="Q144" s="58"/>
    </row>
    <row r="145" spans="1:17" s="62" customFormat="1" hidden="1" x14ac:dyDescent="0.25">
      <c r="A145" s="57"/>
      <c r="B145" s="122">
        <v>3295</v>
      </c>
      <c r="C145" s="103"/>
      <c r="D145" s="123" t="s">
        <v>150</v>
      </c>
      <c r="E145" s="123"/>
      <c r="F145" s="89"/>
      <c r="G145" s="89"/>
      <c r="H145" s="89">
        <v>64098.879999999997</v>
      </c>
      <c r="I145" s="352"/>
      <c r="J145" s="352"/>
      <c r="K145" s="58"/>
      <c r="L145" s="58"/>
      <c r="M145" s="58"/>
      <c r="N145" s="58"/>
      <c r="O145" s="58"/>
      <c r="P145" s="58"/>
      <c r="Q145" s="58"/>
    </row>
    <row r="146" spans="1:17" s="62" customFormat="1" hidden="1" x14ac:dyDescent="0.25">
      <c r="A146" s="57"/>
      <c r="B146" s="122">
        <v>3296</v>
      </c>
      <c r="C146" s="103"/>
      <c r="D146" s="123" t="s">
        <v>151</v>
      </c>
      <c r="E146" s="123"/>
      <c r="F146" s="89"/>
      <c r="G146" s="89"/>
      <c r="H146" s="89">
        <v>4645.3</v>
      </c>
      <c r="I146" s="352">
        <v>0</v>
      </c>
      <c r="J146" s="352"/>
      <c r="K146" s="58"/>
      <c r="L146" s="58"/>
      <c r="M146" s="58"/>
      <c r="N146" s="58"/>
      <c r="O146" s="58"/>
      <c r="P146" s="58"/>
      <c r="Q146" s="58"/>
    </row>
    <row r="147" spans="1:17" s="62" customFormat="1" hidden="1" x14ac:dyDescent="0.25">
      <c r="A147" s="57"/>
      <c r="B147" s="122" t="s">
        <v>152</v>
      </c>
      <c r="C147" s="103"/>
      <c r="D147" s="123" t="s">
        <v>144</v>
      </c>
      <c r="E147" s="123"/>
      <c r="F147" s="89"/>
      <c r="G147" s="89"/>
      <c r="H147" s="89">
        <v>77234.45</v>
      </c>
      <c r="I147" s="352"/>
      <c r="J147" s="352"/>
      <c r="K147" s="58"/>
      <c r="L147" s="58"/>
      <c r="M147" s="58"/>
      <c r="N147" s="58"/>
      <c r="O147" s="58"/>
      <c r="P147" s="58"/>
      <c r="Q147" s="58"/>
    </row>
    <row r="148" spans="1:17" s="62" customFormat="1" hidden="1" x14ac:dyDescent="0.25">
      <c r="A148" s="57"/>
      <c r="B148" s="83">
        <v>34</v>
      </c>
      <c r="C148" s="84"/>
      <c r="D148" s="85" t="s">
        <v>153</v>
      </c>
      <c r="E148" s="85"/>
      <c r="F148" s="109">
        <f>SUM(F149)</f>
        <v>0</v>
      </c>
      <c r="G148" s="109"/>
      <c r="H148" s="109">
        <f>SUM(H149)</f>
        <v>409928.04999999993</v>
      </c>
      <c r="I148" s="295">
        <f>SUM(I149)</f>
        <v>0</v>
      </c>
      <c r="J148" s="295"/>
      <c r="K148" s="58"/>
      <c r="L148" s="58"/>
      <c r="M148" s="58"/>
      <c r="N148" s="58"/>
      <c r="O148" s="58"/>
      <c r="P148" s="58"/>
      <c r="Q148" s="58"/>
    </row>
    <row r="149" spans="1:17" s="62" customFormat="1" hidden="1" x14ac:dyDescent="0.25">
      <c r="A149" s="57"/>
      <c r="B149" s="99">
        <v>343</v>
      </c>
      <c r="C149" s="100"/>
      <c r="D149" s="101" t="s">
        <v>154</v>
      </c>
      <c r="E149" s="101"/>
      <c r="F149" s="52">
        <f>SUM(F150:F152)</f>
        <v>0</v>
      </c>
      <c r="G149" s="52"/>
      <c r="H149" s="52">
        <f>SUM(H150:H152)</f>
        <v>409928.04999999993</v>
      </c>
      <c r="I149" s="280">
        <f>SUM(I150:I151)</f>
        <v>0</v>
      </c>
      <c r="J149" s="280"/>
      <c r="K149" s="58"/>
      <c r="L149" s="58"/>
      <c r="M149" s="58"/>
      <c r="N149" s="58"/>
      <c r="O149" s="58"/>
      <c r="P149" s="58"/>
      <c r="Q149" s="58"/>
    </row>
    <row r="150" spans="1:17" s="62" customFormat="1" hidden="1" x14ac:dyDescent="0.25">
      <c r="A150" s="57"/>
      <c r="B150" s="102" t="s">
        <v>155</v>
      </c>
      <c r="C150" s="103"/>
      <c r="D150" s="104" t="s">
        <v>156</v>
      </c>
      <c r="E150" s="104"/>
      <c r="F150" s="89"/>
      <c r="G150" s="89"/>
      <c r="H150" s="89">
        <v>67485.03</v>
      </c>
      <c r="I150" s="352"/>
      <c r="J150" s="352"/>
      <c r="K150" s="58"/>
      <c r="L150" s="58"/>
      <c r="M150" s="58"/>
      <c r="N150" s="58"/>
      <c r="O150" s="58"/>
      <c r="P150" s="58"/>
      <c r="Q150" s="58"/>
    </row>
    <row r="151" spans="1:17" s="62" customFormat="1" hidden="1" x14ac:dyDescent="0.25">
      <c r="A151" s="57"/>
      <c r="B151" s="122">
        <v>3433</v>
      </c>
      <c r="C151" s="103"/>
      <c r="D151" s="123" t="s">
        <v>157</v>
      </c>
      <c r="E151" s="123"/>
      <c r="F151" s="89"/>
      <c r="G151" s="89"/>
      <c r="H151" s="89">
        <v>342376.66</v>
      </c>
      <c r="I151" s="352"/>
      <c r="J151" s="352"/>
      <c r="K151" s="58"/>
      <c r="L151" s="58"/>
      <c r="M151" s="58"/>
      <c r="N151" s="58"/>
      <c r="O151" s="58"/>
      <c r="P151" s="58"/>
      <c r="Q151" s="58"/>
    </row>
    <row r="152" spans="1:17" s="62" customFormat="1" hidden="1" x14ac:dyDescent="0.25">
      <c r="A152" s="57"/>
      <c r="B152" s="122">
        <v>3434</v>
      </c>
      <c r="C152" s="103"/>
      <c r="D152" s="123" t="s">
        <v>158</v>
      </c>
      <c r="E152" s="123"/>
      <c r="F152" s="89">
        <v>0</v>
      </c>
      <c r="G152" s="89"/>
      <c r="H152" s="89">
        <v>66.36</v>
      </c>
      <c r="I152" s="352">
        <v>0</v>
      </c>
      <c r="J152" s="352"/>
      <c r="K152" s="58"/>
      <c r="L152" s="58"/>
      <c r="M152" s="58"/>
      <c r="N152" s="58"/>
      <c r="O152" s="58"/>
      <c r="P152" s="58"/>
      <c r="Q152" s="58"/>
    </row>
    <row r="153" spans="1:17" s="62" customFormat="1" hidden="1" x14ac:dyDescent="0.25">
      <c r="A153" s="57"/>
      <c r="B153" s="124">
        <v>36</v>
      </c>
      <c r="C153" s="125"/>
      <c r="D153" s="126" t="s">
        <v>159</v>
      </c>
      <c r="E153" s="126"/>
      <c r="F153" s="109">
        <f>F154</f>
        <v>0</v>
      </c>
      <c r="G153" s="109"/>
      <c r="H153" s="109">
        <f>H154</f>
        <v>7963.37</v>
      </c>
      <c r="I153" s="295">
        <f>I154</f>
        <v>0</v>
      </c>
      <c r="J153" s="295"/>
      <c r="K153" s="58"/>
      <c r="L153" s="58"/>
      <c r="M153" s="58"/>
      <c r="N153" s="58"/>
      <c r="O153" s="58"/>
      <c r="P153" s="58"/>
      <c r="Q153" s="58"/>
    </row>
    <row r="154" spans="1:17" s="62" customFormat="1" hidden="1" x14ac:dyDescent="0.25">
      <c r="A154" s="57"/>
      <c r="B154" s="120">
        <v>369</v>
      </c>
      <c r="C154" s="100"/>
      <c r="D154" s="121" t="s">
        <v>38</v>
      </c>
      <c r="E154" s="121"/>
      <c r="F154" s="52">
        <f>SUM(F156,F155)</f>
        <v>0</v>
      </c>
      <c r="G154" s="52"/>
      <c r="H154" s="52">
        <f>SUM(H156)</f>
        <v>7963.37</v>
      </c>
      <c r="I154" s="280">
        <f>SUM(I156)</f>
        <v>0</v>
      </c>
      <c r="J154" s="280"/>
      <c r="K154" s="58"/>
      <c r="L154" s="58"/>
      <c r="M154" s="58"/>
      <c r="N154" s="58"/>
      <c r="O154" s="58"/>
      <c r="P154" s="58"/>
      <c r="Q154" s="58"/>
    </row>
    <row r="155" spans="1:17" s="62" customFormat="1" hidden="1" x14ac:dyDescent="0.25">
      <c r="A155" s="57"/>
      <c r="B155" s="122">
        <v>3691</v>
      </c>
      <c r="C155" s="103"/>
      <c r="D155" s="123" t="s">
        <v>160</v>
      </c>
      <c r="E155" s="123"/>
      <c r="F155" s="89"/>
      <c r="G155" s="89"/>
      <c r="H155" s="89">
        <v>0</v>
      </c>
      <c r="I155" s="352">
        <v>0</v>
      </c>
      <c r="J155" s="352"/>
      <c r="K155" s="58"/>
      <c r="L155" s="58"/>
      <c r="M155" s="58"/>
      <c r="N155" s="58"/>
      <c r="O155" s="58"/>
      <c r="P155" s="58"/>
      <c r="Q155" s="58"/>
    </row>
    <row r="156" spans="1:17" s="62" customFormat="1" hidden="1" x14ac:dyDescent="0.25">
      <c r="A156" s="57"/>
      <c r="B156" s="122">
        <v>3692</v>
      </c>
      <c r="C156" s="103"/>
      <c r="D156" s="123" t="s">
        <v>161</v>
      </c>
      <c r="E156" s="123"/>
      <c r="F156" s="89">
        <v>0</v>
      </c>
      <c r="G156" s="89"/>
      <c r="H156" s="89">
        <v>7963.37</v>
      </c>
      <c r="I156" s="352">
        <v>0</v>
      </c>
      <c r="J156" s="352"/>
      <c r="K156" s="58"/>
      <c r="L156" s="58"/>
      <c r="M156" s="58"/>
      <c r="N156" s="58"/>
      <c r="O156" s="58"/>
      <c r="P156" s="58"/>
      <c r="Q156" s="58"/>
    </row>
    <row r="157" spans="1:17" s="62" customFormat="1" hidden="1" x14ac:dyDescent="0.2">
      <c r="A157" s="57"/>
      <c r="B157" s="124">
        <v>37</v>
      </c>
      <c r="C157" s="125"/>
      <c r="D157" s="355" t="s">
        <v>162</v>
      </c>
      <c r="E157" s="355"/>
      <c r="F157" s="109">
        <f t="shared" ref="F157:I158" si="31">SUM(F158)</f>
        <v>0</v>
      </c>
      <c r="G157" s="109"/>
      <c r="H157" s="109">
        <f t="shared" si="31"/>
        <v>0</v>
      </c>
      <c r="I157" s="295">
        <f t="shared" si="31"/>
        <v>0</v>
      </c>
      <c r="J157" s="295"/>
      <c r="K157" s="58"/>
      <c r="L157" s="58"/>
      <c r="M157" s="58"/>
      <c r="N157" s="58"/>
      <c r="O157" s="58"/>
      <c r="P157" s="58"/>
      <c r="Q157" s="58"/>
    </row>
    <row r="158" spans="1:17" s="62" customFormat="1" hidden="1" x14ac:dyDescent="0.2">
      <c r="A158" s="57"/>
      <c r="B158" s="120">
        <v>372</v>
      </c>
      <c r="C158" s="100"/>
      <c r="D158" s="356" t="s">
        <v>163</v>
      </c>
      <c r="E158" s="356"/>
      <c r="F158" s="52">
        <f t="shared" si="31"/>
        <v>0</v>
      </c>
      <c r="G158" s="52"/>
      <c r="H158" s="52">
        <f t="shared" si="31"/>
        <v>0</v>
      </c>
      <c r="I158" s="280">
        <f t="shared" si="31"/>
        <v>0</v>
      </c>
      <c r="J158" s="280"/>
      <c r="K158" s="58"/>
      <c r="L158" s="58"/>
      <c r="M158" s="58"/>
      <c r="N158" s="58"/>
      <c r="O158" s="58"/>
      <c r="P158" s="58"/>
      <c r="Q158" s="58"/>
    </row>
    <row r="159" spans="1:17" s="62" customFormat="1" hidden="1" x14ac:dyDescent="0.25">
      <c r="A159" s="57"/>
      <c r="B159" s="122">
        <v>3721</v>
      </c>
      <c r="C159" s="103"/>
      <c r="D159" s="156" t="s">
        <v>164</v>
      </c>
      <c r="E159" s="156"/>
      <c r="F159" s="89">
        <v>0</v>
      </c>
      <c r="G159" s="89"/>
      <c r="H159" s="89">
        <v>0</v>
      </c>
      <c r="I159" s="352"/>
      <c r="J159" s="352"/>
      <c r="K159" s="58"/>
      <c r="L159" s="58"/>
      <c r="M159" s="58"/>
      <c r="N159" s="58"/>
      <c r="O159" s="58"/>
      <c r="P159" s="58"/>
      <c r="Q159" s="58"/>
    </row>
    <row r="160" spans="1:17" s="62" customFormat="1" hidden="1" x14ac:dyDescent="0.25">
      <c r="A160" s="57"/>
      <c r="B160" s="83" t="s">
        <v>165</v>
      </c>
      <c r="C160" s="84"/>
      <c r="D160" s="85" t="s">
        <v>98</v>
      </c>
      <c r="E160" s="85"/>
      <c r="F160" s="109">
        <f>F163+F161</f>
        <v>0</v>
      </c>
      <c r="G160" s="109"/>
      <c r="H160" s="109">
        <f>H161+H163</f>
        <v>669408.59000000008</v>
      </c>
      <c r="I160" s="295">
        <f>I163+I161</f>
        <v>0</v>
      </c>
      <c r="J160" s="295"/>
      <c r="K160" s="58"/>
      <c r="L160" s="58"/>
      <c r="M160" s="58"/>
      <c r="N160" s="58"/>
      <c r="O160" s="58"/>
      <c r="P160" s="58"/>
      <c r="Q160" s="58"/>
    </row>
    <row r="161" spans="1:17" s="62" customFormat="1" hidden="1" x14ac:dyDescent="0.25">
      <c r="A161" s="57"/>
      <c r="B161" s="87" t="s">
        <v>166</v>
      </c>
      <c r="C161" s="82"/>
      <c r="D161" s="95" t="s">
        <v>167</v>
      </c>
      <c r="E161" s="95"/>
      <c r="F161" s="52">
        <f>F162</f>
        <v>0</v>
      </c>
      <c r="G161" s="52"/>
      <c r="H161" s="52">
        <f>H162</f>
        <v>485.64</v>
      </c>
      <c r="I161" s="280">
        <f>I162</f>
        <v>0</v>
      </c>
      <c r="J161" s="280"/>
      <c r="K161" s="58"/>
      <c r="L161" s="58"/>
      <c r="M161" s="58"/>
      <c r="N161" s="58"/>
      <c r="O161" s="58"/>
      <c r="P161" s="58"/>
      <c r="Q161" s="58"/>
    </row>
    <row r="162" spans="1:17" s="62" customFormat="1" hidden="1" x14ac:dyDescent="0.25">
      <c r="A162" s="57"/>
      <c r="B162" s="88" t="s">
        <v>168</v>
      </c>
      <c r="C162" s="57"/>
      <c r="D162" s="96" t="s">
        <v>167</v>
      </c>
      <c r="E162" s="96"/>
      <c r="F162" s="89"/>
      <c r="G162" s="89"/>
      <c r="H162" s="89">
        <v>485.64</v>
      </c>
      <c r="I162" s="352"/>
      <c r="J162" s="352"/>
      <c r="K162" s="58"/>
      <c r="L162" s="58"/>
      <c r="M162" s="58"/>
      <c r="N162" s="58"/>
      <c r="O162" s="58"/>
      <c r="P162" s="58"/>
      <c r="Q162" s="58"/>
    </row>
    <row r="163" spans="1:17" s="62" customFormat="1" hidden="1" x14ac:dyDescent="0.25">
      <c r="A163" s="57"/>
      <c r="B163" s="120">
        <v>383</v>
      </c>
      <c r="C163" s="100"/>
      <c r="D163" s="121" t="s">
        <v>169</v>
      </c>
      <c r="E163" s="121"/>
      <c r="F163" s="52">
        <f>SUM(F164:F167)</f>
        <v>0</v>
      </c>
      <c r="G163" s="52"/>
      <c r="H163" s="52">
        <f>SUM(H164:H167)</f>
        <v>668922.95000000007</v>
      </c>
      <c r="I163" s="280">
        <f>SUM(I164:I167)</f>
        <v>0</v>
      </c>
      <c r="J163" s="280"/>
      <c r="K163" s="58"/>
      <c r="L163" s="58"/>
      <c r="M163" s="58"/>
      <c r="N163" s="58"/>
      <c r="O163" s="58"/>
      <c r="P163" s="58"/>
      <c r="Q163" s="58"/>
    </row>
    <row r="164" spans="1:17" s="62" customFormat="1" hidden="1" x14ac:dyDescent="0.25">
      <c r="A164" s="57"/>
      <c r="B164" s="122">
        <v>3831</v>
      </c>
      <c r="C164" s="103"/>
      <c r="D164" s="123" t="s">
        <v>170</v>
      </c>
      <c r="E164" s="123"/>
      <c r="F164" s="89">
        <v>0</v>
      </c>
      <c r="G164" s="89"/>
      <c r="H164" s="89">
        <v>0</v>
      </c>
      <c r="I164" s="352">
        <v>0</v>
      </c>
      <c r="J164" s="352"/>
      <c r="K164" s="58"/>
      <c r="L164" s="58"/>
      <c r="M164" s="58"/>
      <c r="N164" s="58"/>
      <c r="O164" s="58"/>
      <c r="P164" s="58"/>
      <c r="Q164" s="58"/>
    </row>
    <row r="165" spans="1:17" s="62" customFormat="1" hidden="1" x14ac:dyDescent="0.25">
      <c r="A165" s="57"/>
      <c r="B165" s="122">
        <v>3833</v>
      </c>
      <c r="C165" s="103"/>
      <c r="D165" s="123" t="s">
        <v>171</v>
      </c>
      <c r="E165" s="123"/>
      <c r="F165" s="89"/>
      <c r="G165" s="89"/>
      <c r="H165" s="89">
        <v>663614.04</v>
      </c>
      <c r="I165" s="352">
        <v>0</v>
      </c>
      <c r="J165" s="352"/>
      <c r="K165" s="58"/>
      <c r="L165" s="58"/>
      <c r="M165" s="58"/>
      <c r="N165" s="58"/>
      <c r="O165" s="58"/>
      <c r="P165" s="58"/>
      <c r="Q165" s="58"/>
    </row>
    <row r="166" spans="1:17" s="62" customFormat="1" hidden="1" x14ac:dyDescent="0.25">
      <c r="A166" s="57"/>
      <c r="B166" s="122">
        <v>3834</v>
      </c>
      <c r="C166" s="103"/>
      <c r="D166" s="123" t="s">
        <v>172</v>
      </c>
      <c r="E166" s="123"/>
      <c r="F166" s="89"/>
      <c r="G166" s="89"/>
      <c r="H166" s="89">
        <v>5308.91</v>
      </c>
      <c r="I166" s="352">
        <v>0</v>
      </c>
      <c r="J166" s="352"/>
      <c r="K166" s="58"/>
      <c r="L166" s="58"/>
      <c r="M166" s="58"/>
      <c r="N166" s="58"/>
      <c r="O166" s="58"/>
      <c r="P166" s="58"/>
      <c r="Q166" s="58"/>
    </row>
    <row r="167" spans="1:17" s="62" customFormat="1" hidden="1" x14ac:dyDescent="0.25">
      <c r="A167" s="57"/>
      <c r="B167" s="122">
        <v>3835</v>
      </c>
      <c r="C167" s="103"/>
      <c r="D167" s="123" t="s">
        <v>173</v>
      </c>
      <c r="E167" s="123"/>
      <c r="F167" s="89"/>
      <c r="G167" s="89"/>
      <c r="H167" s="89">
        <v>0</v>
      </c>
      <c r="I167" s="352"/>
      <c r="J167" s="352"/>
      <c r="K167" s="58"/>
      <c r="L167" s="58"/>
      <c r="M167" s="58"/>
      <c r="N167" s="58"/>
      <c r="O167" s="58"/>
      <c r="P167" s="58"/>
      <c r="Q167" s="58"/>
    </row>
    <row r="168" spans="1:17" s="62" customFormat="1" hidden="1" x14ac:dyDescent="0.25">
      <c r="A168" s="130">
        <v>4</v>
      </c>
      <c r="B168" s="106"/>
      <c r="C168" s="131"/>
      <c r="D168" s="132" t="s">
        <v>174</v>
      </c>
      <c r="E168" s="132"/>
      <c r="F168" s="108">
        <f>F169+F174+F186</f>
        <v>0</v>
      </c>
      <c r="G168" s="108"/>
      <c r="H168" s="108">
        <f>H169+H174+H186</f>
        <v>272061.05</v>
      </c>
      <c r="I168" s="326">
        <f>I169+I174+I186</f>
        <v>0</v>
      </c>
      <c r="J168" s="326"/>
      <c r="K168" s="58"/>
      <c r="L168" s="58"/>
      <c r="M168" s="58"/>
      <c r="N168" s="58"/>
      <c r="O168" s="58"/>
      <c r="P168" s="58"/>
      <c r="Q168" s="58"/>
    </row>
    <row r="169" spans="1:17" s="62" customFormat="1" hidden="1" x14ac:dyDescent="0.25">
      <c r="A169" s="133"/>
      <c r="B169" s="83" t="s">
        <v>175</v>
      </c>
      <c r="C169" s="84"/>
      <c r="D169" s="111" t="s">
        <v>176</v>
      </c>
      <c r="E169" s="111"/>
      <c r="F169" s="109">
        <f>SUM(F172)</f>
        <v>0</v>
      </c>
      <c r="G169" s="109"/>
      <c r="H169" s="109">
        <f>SUM(H170,H172)</f>
        <v>4645.3</v>
      </c>
      <c r="I169" s="295">
        <f>SUM(I170,I172)</f>
        <v>0</v>
      </c>
      <c r="J169" s="295"/>
      <c r="K169" s="58"/>
      <c r="L169" s="58"/>
      <c r="M169" s="58"/>
      <c r="N169" s="58"/>
      <c r="O169" s="58"/>
      <c r="P169" s="58"/>
      <c r="Q169" s="58"/>
    </row>
    <row r="170" spans="1:17" s="62" customFormat="1" hidden="1" x14ac:dyDescent="0.25">
      <c r="A170" s="133"/>
      <c r="B170" s="87" t="s">
        <v>177</v>
      </c>
      <c r="C170" s="82"/>
      <c r="D170" s="134" t="s">
        <v>178</v>
      </c>
      <c r="E170" s="134"/>
      <c r="F170" s="52">
        <f>SUM(F171)</f>
        <v>0</v>
      </c>
      <c r="G170" s="52"/>
      <c r="H170" s="52">
        <f>SUM(H171)</f>
        <v>4645.3</v>
      </c>
      <c r="I170" s="280">
        <f>SUM(I171)</f>
        <v>0</v>
      </c>
      <c r="J170" s="280"/>
      <c r="K170" s="58"/>
      <c r="L170" s="58"/>
      <c r="M170" s="58"/>
      <c r="N170" s="58"/>
      <c r="O170" s="58"/>
      <c r="P170" s="58"/>
      <c r="Q170" s="58"/>
    </row>
    <row r="171" spans="1:17" s="62" customFormat="1" hidden="1" x14ac:dyDescent="0.25">
      <c r="A171" s="133"/>
      <c r="B171" s="88" t="s">
        <v>179</v>
      </c>
      <c r="C171" s="57"/>
      <c r="D171" s="135" t="s">
        <v>180</v>
      </c>
      <c r="E171" s="135"/>
      <c r="F171" s="89">
        <v>0</v>
      </c>
      <c r="G171" s="89"/>
      <c r="H171" s="89">
        <v>4645.3</v>
      </c>
      <c r="I171" s="352">
        <v>0</v>
      </c>
      <c r="J171" s="352"/>
      <c r="K171" s="58"/>
      <c r="L171" s="58"/>
      <c r="M171" s="58"/>
      <c r="N171" s="58"/>
      <c r="O171" s="58"/>
      <c r="P171" s="58"/>
      <c r="Q171" s="58"/>
    </row>
    <row r="172" spans="1:17" s="62" customFormat="1" hidden="1" x14ac:dyDescent="0.25">
      <c r="A172" s="133"/>
      <c r="B172" s="99">
        <v>412</v>
      </c>
      <c r="C172" s="92"/>
      <c r="D172" s="54" t="s">
        <v>181</v>
      </c>
      <c r="E172" s="54"/>
      <c r="F172" s="52">
        <f>SUM(F173)</f>
        <v>0</v>
      </c>
      <c r="G172" s="52"/>
      <c r="H172" s="52">
        <f>SUM(H173)</f>
        <v>0</v>
      </c>
      <c r="I172" s="280">
        <f>SUM(I173)</f>
        <v>0</v>
      </c>
      <c r="J172" s="280"/>
      <c r="K172" s="58"/>
      <c r="L172" s="58"/>
      <c r="M172" s="58"/>
      <c r="N172" s="58"/>
      <c r="O172" s="58"/>
      <c r="P172" s="58"/>
      <c r="Q172" s="58"/>
    </row>
    <row r="173" spans="1:17" s="62" customFormat="1" hidden="1" x14ac:dyDescent="0.25">
      <c r="A173" s="110"/>
      <c r="B173" s="102">
        <v>4123</v>
      </c>
      <c r="C173" s="94"/>
      <c r="D173" s="55" t="s">
        <v>182</v>
      </c>
      <c r="E173" s="55"/>
      <c r="F173" s="89">
        <v>0</v>
      </c>
      <c r="G173" s="89"/>
      <c r="H173" s="89">
        <v>0</v>
      </c>
      <c r="I173" s="352">
        <v>0</v>
      </c>
      <c r="J173" s="352"/>
      <c r="K173" s="58"/>
      <c r="L173" s="58"/>
      <c r="M173" s="58"/>
      <c r="N173" s="58"/>
      <c r="O173" s="58"/>
      <c r="P173" s="58"/>
      <c r="Q173" s="58"/>
    </row>
    <row r="174" spans="1:17" s="62" customFormat="1" hidden="1" x14ac:dyDescent="0.25">
      <c r="A174" s="57"/>
      <c r="B174" s="83">
        <v>42</v>
      </c>
      <c r="C174" s="84"/>
      <c r="D174" s="85" t="s">
        <v>183</v>
      </c>
      <c r="E174" s="85"/>
      <c r="F174" s="109">
        <f>SUM(F175,F182,F184)</f>
        <v>0</v>
      </c>
      <c r="G174" s="109"/>
      <c r="H174" s="109">
        <f>SUM(H175,H182)</f>
        <v>227532.54</v>
      </c>
      <c r="I174" s="295">
        <f>SUM(I175,I182,I184)</f>
        <v>0</v>
      </c>
      <c r="J174" s="295"/>
      <c r="K174" s="58"/>
      <c r="L174" s="58"/>
      <c r="M174" s="58"/>
      <c r="N174" s="58"/>
      <c r="O174" s="58"/>
      <c r="P174" s="58"/>
      <c r="Q174" s="58"/>
    </row>
    <row r="175" spans="1:17" s="62" customFormat="1" hidden="1" x14ac:dyDescent="0.25">
      <c r="A175" s="57"/>
      <c r="B175" s="87">
        <v>422</v>
      </c>
      <c r="C175" s="57"/>
      <c r="D175" s="82" t="s">
        <v>184</v>
      </c>
      <c r="E175" s="82"/>
      <c r="F175" s="52">
        <f>SUM(F176:F181)</f>
        <v>0</v>
      </c>
      <c r="G175" s="52"/>
      <c r="H175" s="52">
        <f>SUM(H176:H181)</f>
        <v>214260.26</v>
      </c>
      <c r="I175" s="280">
        <f>SUM(I176:I181)</f>
        <v>0</v>
      </c>
      <c r="J175" s="280"/>
      <c r="K175" s="58"/>
      <c r="L175" s="58"/>
      <c r="M175" s="58"/>
      <c r="N175" s="58"/>
      <c r="O175" s="58"/>
      <c r="P175" s="58"/>
      <c r="Q175" s="58"/>
    </row>
    <row r="176" spans="1:17" s="62" customFormat="1" hidden="1" x14ac:dyDescent="0.25">
      <c r="A176" s="57"/>
      <c r="B176" s="88" t="s">
        <v>185</v>
      </c>
      <c r="C176" s="57"/>
      <c r="D176" s="57" t="s">
        <v>186</v>
      </c>
      <c r="E176" s="57"/>
      <c r="F176" s="89"/>
      <c r="G176" s="89"/>
      <c r="H176" s="89">
        <v>53089.120000000003</v>
      </c>
      <c r="I176" s="352"/>
      <c r="J176" s="352"/>
      <c r="K176" s="58"/>
      <c r="L176" s="58"/>
      <c r="M176" s="58"/>
      <c r="N176" s="58"/>
      <c r="O176" s="58"/>
      <c r="P176" s="58"/>
      <c r="Q176" s="58"/>
    </row>
    <row r="177" spans="1:17" s="62" customFormat="1" hidden="1" x14ac:dyDescent="0.25">
      <c r="A177" s="57"/>
      <c r="B177" s="88" t="s">
        <v>187</v>
      </c>
      <c r="C177" s="57"/>
      <c r="D177" s="57" t="s">
        <v>188</v>
      </c>
      <c r="E177" s="57"/>
      <c r="F177" s="89"/>
      <c r="G177" s="89"/>
      <c r="H177" s="89">
        <v>0</v>
      </c>
      <c r="I177" s="352">
        <v>0</v>
      </c>
      <c r="J177" s="352"/>
      <c r="K177" s="58"/>
      <c r="L177" s="58"/>
      <c r="M177" s="58"/>
      <c r="N177" s="58"/>
      <c r="O177" s="58"/>
      <c r="P177" s="58"/>
      <c r="Q177" s="58"/>
    </row>
    <row r="178" spans="1:17" s="62" customFormat="1" hidden="1" x14ac:dyDescent="0.25">
      <c r="A178" s="110"/>
      <c r="B178" s="102">
        <v>4223</v>
      </c>
      <c r="C178" s="94"/>
      <c r="D178" s="55" t="s">
        <v>189</v>
      </c>
      <c r="E178" s="55"/>
      <c r="F178" s="89"/>
      <c r="G178" s="89"/>
      <c r="H178" s="89">
        <v>13272.28</v>
      </c>
      <c r="I178" s="352">
        <v>0</v>
      </c>
      <c r="J178" s="352"/>
      <c r="K178" s="58"/>
      <c r="L178" s="58"/>
      <c r="M178" s="58"/>
      <c r="N178" s="58"/>
      <c r="O178" s="58"/>
      <c r="P178" s="58"/>
      <c r="Q178" s="58"/>
    </row>
    <row r="179" spans="1:17" s="62" customFormat="1" hidden="1" x14ac:dyDescent="0.25">
      <c r="A179" s="110"/>
      <c r="B179" s="102">
        <v>4224</v>
      </c>
      <c r="C179" s="94"/>
      <c r="D179" s="55" t="s">
        <v>190</v>
      </c>
      <c r="E179" s="55"/>
      <c r="F179" s="89"/>
      <c r="G179" s="89"/>
      <c r="H179" s="89">
        <v>72201.210000000006</v>
      </c>
      <c r="I179" s="352"/>
      <c r="J179" s="352"/>
      <c r="K179" s="58"/>
      <c r="L179" s="58"/>
      <c r="M179" s="58"/>
      <c r="N179" s="58"/>
      <c r="O179" s="58"/>
      <c r="P179" s="58"/>
      <c r="Q179" s="58"/>
    </row>
    <row r="180" spans="1:17" s="62" customFormat="1" hidden="1" x14ac:dyDescent="0.25">
      <c r="A180" s="110"/>
      <c r="B180" s="102">
        <v>4225</v>
      </c>
      <c r="C180" s="94"/>
      <c r="D180" s="55" t="s">
        <v>191</v>
      </c>
      <c r="E180" s="55"/>
      <c r="F180" s="89"/>
      <c r="G180" s="89"/>
      <c r="H180" s="89">
        <v>71715.97</v>
      </c>
      <c r="I180" s="352">
        <v>0</v>
      </c>
      <c r="J180" s="352"/>
      <c r="K180" s="58"/>
      <c r="L180" s="58"/>
      <c r="M180" s="58"/>
      <c r="N180" s="58"/>
      <c r="O180" s="58"/>
      <c r="P180" s="58"/>
      <c r="Q180" s="58"/>
    </row>
    <row r="181" spans="1:17" s="62" customFormat="1" hidden="1" x14ac:dyDescent="0.25">
      <c r="A181" s="110"/>
      <c r="B181" s="102">
        <v>4227</v>
      </c>
      <c r="C181" s="94"/>
      <c r="D181" s="55" t="s">
        <v>192</v>
      </c>
      <c r="E181" s="55"/>
      <c r="F181" s="89">
        <v>0</v>
      </c>
      <c r="G181" s="89"/>
      <c r="H181" s="89">
        <v>3981.68</v>
      </c>
      <c r="I181" s="352">
        <v>0</v>
      </c>
      <c r="J181" s="352"/>
      <c r="K181" s="58"/>
      <c r="L181" s="58"/>
      <c r="M181" s="58"/>
      <c r="N181" s="58"/>
      <c r="O181" s="58"/>
      <c r="P181" s="58"/>
      <c r="Q181" s="58"/>
    </row>
    <row r="182" spans="1:17" s="65" customFormat="1" ht="14.25" hidden="1" x14ac:dyDescent="0.25">
      <c r="A182" s="133"/>
      <c r="B182" s="99">
        <v>423</v>
      </c>
      <c r="C182" s="92"/>
      <c r="D182" s="54" t="s">
        <v>193</v>
      </c>
      <c r="E182" s="54"/>
      <c r="F182" s="52">
        <f>F183</f>
        <v>0</v>
      </c>
      <c r="G182" s="52"/>
      <c r="H182" s="52">
        <f>H183</f>
        <v>13272.28</v>
      </c>
      <c r="I182" s="280">
        <f>I183</f>
        <v>0</v>
      </c>
      <c r="J182" s="280"/>
      <c r="K182" s="64"/>
      <c r="L182" s="64"/>
      <c r="M182" s="64"/>
      <c r="N182" s="64"/>
      <c r="O182" s="64"/>
      <c r="P182" s="64"/>
      <c r="Q182" s="64"/>
    </row>
    <row r="183" spans="1:17" s="62" customFormat="1" hidden="1" x14ac:dyDescent="0.25">
      <c r="A183" s="110"/>
      <c r="B183" s="102">
        <v>4231</v>
      </c>
      <c r="C183" s="94"/>
      <c r="D183" s="55" t="s">
        <v>193</v>
      </c>
      <c r="E183" s="55"/>
      <c r="F183" s="89"/>
      <c r="G183" s="89"/>
      <c r="H183" s="89">
        <v>13272.28</v>
      </c>
      <c r="I183" s="352"/>
      <c r="J183" s="352"/>
      <c r="K183" s="58"/>
      <c r="L183" s="58"/>
      <c r="M183" s="58"/>
      <c r="N183" s="58"/>
      <c r="O183" s="58"/>
      <c r="P183" s="58"/>
      <c r="Q183" s="58"/>
    </row>
    <row r="184" spans="1:17" s="65" customFormat="1" ht="14.25" hidden="1" x14ac:dyDescent="0.25">
      <c r="A184" s="133"/>
      <c r="B184" s="99">
        <v>426</v>
      </c>
      <c r="C184" s="92"/>
      <c r="D184" s="54" t="s">
        <v>194</v>
      </c>
      <c r="E184" s="54"/>
      <c r="F184" s="52">
        <f>F185</f>
        <v>0</v>
      </c>
      <c r="G184" s="52"/>
      <c r="H184" s="52">
        <f>H185</f>
        <v>0</v>
      </c>
      <c r="I184" s="280">
        <f>I185</f>
        <v>0</v>
      </c>
      <c r="J184" s="280"/>
      <c r="K184" s="64"/>
      <c r="L184" s="64"/>
      <c r="M184" s="64"/>
      <c r="N184" s="64"/>
      <c r="O184" s="64"/>
      <c r="P184" s="64"/>
      <c r="Q184" s="64"/>
    </row>
    <row r="185" spans="1:17" s="62" customFormat="1" hidden="1" x14ac:dyDescent="0.25">
      <c r="A185" s="110"/>
      <c r="B185" s="102">
        <v>4262</v>
      </c>
      <c r="C185" s="94"/>
      <c r="D185" s="55" t="s">
        <v>195</v>
      </c>
      <c r="E185" s="55"/>
      <c r="F185" s="89"/>
      <c r="G185" s="89"/>
      <c r="H185" s="89">
        <v>0</v>
      </c>
      <c r="I185" s="352">
        <v>0</v>
      </c>
      <c r="J185" s="352"/>
      <c r="K185" s="58"/>
      <c r="L185" s="58"/>
      <c r="M185" s="58"/>
      <c r="N185" s="58"/>
      <c r="O185" s="58"/>
      <c r="P185" s="58"/>
      <c r="Q185" s="58"/>
    </row>
    <row r="186" spans="1:17" s="62" customFormat="1" hidden="1" x14ac:dyDescent="0.25">
      <c r="A186" s="110"/>
      <c r="B186" s="83" t="s">
        <v>196</v>
      </c>
      <c r="C186" s="84"/>
      <c r="D186" s="111" t="s">
        <v>197</v>
      </c>
      <c r="E186" s="111"/>
      <c r="F186" s="109">
        <f>F187+F189</f>
        <v>0</v>
      </c>
      <c r="G186" s="109"/>
      <c r="H186" s="109">
        <f>H187</f>
        <v>39883.21</v>
      </c>
      <c r="I186" s="295">
        <f>I187</f>
        <v>0</v>
      </c>
      <c r="J186" s="295"/>
      <c r="K186" s="58"/>
      <c r="L186" s="58"/>
      <c r="M186" s="58"/>
      <c r="N186" s="58"/>
      <c r="O186" s="58"/>
      <c r="P186" s="58"/>
      <c r="Q186" s="58"/>
    </row>
    <row r="187" spans="1:17" s="62" customFormat="1" hidden="1" x14ac:dyDescent="0.25">
      <c r="A187" s="110"/>
      <c r="B187" s="87" t="s">
        <v>198</v>
      </c>
      <c r="C187" s="57"/>
      <c r="D187" s="82" t="s">
        <v>199</v>
      </c>
      <c r="E187" s="82"/>
      <c r="F187" s="52">
        <f>F188</f>
        <v>0</v>
      </c>
      <c r="G187" s="52"/>
      <c r="H187" s="52">
        <f>H188</f>
        <v>39883.21</v>
      </c>
      <c r="I187" s="280">
        <f>I188</f>
        <v>0</v>
      </c>
      <c r="J187" s="280"/>
      <c r="K187" s="58"/>
      <c r="L187" s="58"/>
      <c r="M187" s="58"/>
      <c r="N187" s="58"/>
      <c r="O187" s="58"/>
      <c r="P187" s="58"/>
      <c r="Q187" s="58"/>
    </row>
    <row r="188" spans="1:17" s="62" customFormat="1" hidden="1" x14ac:dyDescent="0.25">
      <c r="A188" s="110"/>
      <c r="B188" s="88" t="s">
        <v>200</v>
      </c>
      <c r="C188" s="57"/>
      <c r="D188" s="57" t="s">
        <v>199</v>
      </c>
      <c r="E188" s="57"/>
      <c r="F188" s="89"/>
      <c r="G188" s="89"/>
      <c r="H188" s="89">
        <f>21633.82+18249.39</f>
        <v>39883.21</v>
      </c>
      <c r="I188" s="352">
        <v>0</v>
      </c>
      <c r="J188" s="352"/>
      <c r="K188" s="58"/>
      <c r="L188" s="58"/>
      <c r="M188" s="58"/>
      <c r="N188" s="58"/>
      <c r="O188" s="58"/>
      <c r="P188" s="58"/>
      <c r="Q188" s="58"/>
    </row>
    <row r="189" spans="1:17" s="62" customFormat="1" hidden="1" x14ac:dyDescent="0.25">
      <c r="A189" s="110"/>
      <c r="B189" s="87" t="s">
        <v>201</v>
      </c>
      <c r="C189" s="82"/>
      <c r="D189" s="82" t="s">
        <v>202</v>
      </c>
      <c r="E189" s="82"/>
      <c r="F189" s="52">
        <f>F190</f>
        <v>0</v>
      </c>
      <c r="G189" s="52"/>
      <c r="H189" s="52">
        <f>H190</f>
        <v>0</v>
      </c>
      <c r="I189" s="280">
        <f>I190</f>
        <v>0</v>
      </c>
      <c r="J189" s="280"/>
      <c r="K189" s="58"/>
      <c r="L189" s="58"/>
      <c r="M189" s="58"/>
      <c r="N189" s="58"/>
      <c r="O189" s="58"/>
      <c r="P189" s="58"/>
      <c r="Q189" s="58"/>
    </row>
    <row r="190" spans="1:17" s="62" customFormat="1" hidden="1" x14ac:dyDescent="0.25">
      <c r="A190" s="110"/>
      <c r="B190" s="88" t="s">
        <v>203</v>
      </c>
      <c r="C190" s="57"/>
      <c r="D190" s="57" t="s">
        <v>204</v>
      </c>
      <c r="E190" s="57"/>
      <c r="F190" s="89"/>
      <c r="G190" s="89"/>
      <c r="H190" s="89">
        <v>0</v>
      </c>
      <c r="I190" s="352">
        <v>0</v>
      </c>
      <c r="J190" s="352"/>
      <c r="K190" s="58"/>
      <c r="L190" s="58"/>
      <c r="M190" s="58"/>
      <c r="N190" s="58"/>
      <c r="O190" s="58"/>
      <c r="P190" s="58"/>
      <c r="Q190" s="58"/>
    </row>
    <row r="191" spans="1:17" s="62" customFormat="1" hidden="1" x14ac:dyDescent="0.25">
      <c r="A191" s="136"/>
      <c r="B191" s="137"/>
      <c r="C191" s="138">
        <v>43</v>
      </c>
      <c r="D191" s="139" t="s">
        <v>56</v>
      </c>
      <c r="E191" s="139"/>
      <c r="F191" s="140">
        <f>F168+F104</f>
        <v>0</v>
      </c>
      <c r="G191" s="140"/>
      <c r="H191" s="140">
        <f>H168+H104</f>
        <v>59462511.659999989</v>
      </c>
      <c r="I191" s="357">
        <f>I168+I104</f>
        <v>0</v>
      </c>
      <c r="J191" s="357"/>
      <c r="K191" s="58"/>
      <c r="L191" s="58"/>
      <c r="M191" s="58"/>
      <c r="N191" s="58"/>
      <c r="O191" s="58"/>
      <c r="P191" s="58"/>
      <c r="Q191" s="58"/>
    </row>
    <row r="192" spans="1:17" s="62" customFormat="1" hidden="1" x14ac:dyDescent="0.25">
      <c r="A192" s="79" t="s">
        <v>86</v>
      </c>
      <c r="B192" s="79"/>
      <c r="C192" s="80"/>
      <c r="D192" s="72" t="s">
        <v>87</v>
      </c>
      <c r="E192" s="72"/>
      <c r="F192" s="81">
        <f>F193+F203+F234+F240+F243</f>
        <v>0</v>
      </c>
      <c r="G192" s="81"/>
      <c r="H192" s="81">
        <f>H193+H203+H240+H234+H243</f>
        <v>4824119.8499999996</v>
      </c>
      <c r="I192" s="351">
        <f>I193+I203+I234+I240+I243</f>
        <v>0</v>
      </c>
      <c r="J192" s="351"/>
      <c r="K192" s="58"/>
      <c r="L192" s="58"/>
      <c r="M192" s="58"/>
      <c r="N192" s="58"/>
      <c r="O192" s="58"/>
      <c r="P192" s="58"/>
      <c r="Q192" s="58"/>
    </row>
    <row r="193" spans="1:17" s="62" customFormat="1" hidden="1" x14ac:dyDescent="0.25">
      <c r="A193" s="82"/>
      <c r="B193" s="83">
        <v>31</v>
      </c>
      <c r="C193" s="84"/>
      <c r="D193" s="85" t="s">
        <v>88</v>
      </c>
      <c r="E193" s="85"/>
      <c r="F193" s="86">
        <f>F194+F199+F201</f>
        <v>0</v>
      </c>
      <c r="G193" s="86"/>
      <c r="H193" s="86">
        <f>H194+H199+H201</f>
        <v>1554293.06</v>
      </c>
      <c r="I193" s="276">
        <f>I194+I199+I201</f>
        <v>0</v>
      </c>
      <c r="J193" s="276"/>
      <c r="K193" s="58"/>
      <c r="L193" s="58"/>
      <c r="M193" s="58"/>
      <c r="N193" s="58"/>
      <c r="O193" s="58"/>
      <c r="P193" s="58"/>
      <c r="Q193" s="58"/>
    </row>
    <row r="194" spans="1:17" s="62" customFormat="1" hidden="1" x14ac:dyDescent="0.25">
      <c r="A194" s="82"/>
      <c r="B194" s="87">
        <v>311</v>
      </c>
      <c r="C194" s="57"/>
      <c r="D194" s="82" t="s">
        <v>89</v>
      </c>
      <c r="E194" s="82"/>
      <c r="F194" s="52">
        <f>SUM(F195:F198)</f>
        <v>0</v>
      </c>
      <c r="G194" s="52"/>
      <c r="H194" s="52">
        <f>SUM(H195:H198)</f>
        <v>1340372.43</v>
      </c>
      <c r="I194" s="280">
        <f>SUM(I195:I198)</f>
        <v>0</v>
      </c>
      <c r="J194" s="280"/>
      <c r="K194" s="58"/>
      <c r="L194" s="58"/>
      <c r="M194" s="58"/>
      <c r="N194" s="58"/>
      <c r="O194" s="58"/>
      <c r="P194" s="58"/>
      <c r="Q194" s="58"/>
    </row>
    <row r="195" spans="1:17" s="62" customFormat="1" hidden="1" x14ac:dyDescent="0.25">
      <c r="A195" s="57"/>
      <c r="B195" s="88">
        <v>3111</v>
      </c>
      <c r="C195" s="57"/>
      <c r="D195" s="57" t="s">
        <v>90</v>
      </c>
      <c r="E195" s="57"/>
      <c r="F195" s="89"/>
      <c r="G195" s="89"/>
      <c r="H195" s="89">
        <f>1263658.65+72997.54</f>
        <v>1336656.19</v>
      </c>
      <c r="I195" s="352"/>
      <c r="J195" s="352"/>
      <c r="K195" s="58"/>
      <c r="L195" s="58"/>
      <c r="M195" s="58"/>
      <c r="N195" s="58"/>
      <c r="O195" s="58"/>
      <c r="P195" s="58"/>
      <c r="Q195" s="58"/>
    </row>
    <row r="196" spans="1:17" s="65" customFormat="1" hidden="1" x14ac:dyDescent="0.25">
      <c r="A196" s="57"/>
      <c r="B196" s="88" t="s">
        <v>91</v>
      </c>
      <c r="C196" s="57"/>
      <c r="D196" s="57" t="s">
        <v>92</v>
      </c>
      <c r="E196" s="57"/>
      <c r="F196" s="89">
        <v>0</v>
      </c>
      <c r="G196" s="89"/>
      <c r="H196" s="89">
        <v>0</v>
      </c>
      <c r="I196" s="352">
        <v>0</v>
      </c>
      <c r="J196" s="352"/>
      <c r="K196" s="64"/>
      <c r="L196" s="64"/>
      <c r="M196" s="64"/>
      <c r="N196" s="64"/>
      <c r="O196" s="64"/>
      <c r="P196" s="64"/>
      <c r="Q196" s="64"/>
    </row>
    <row r="197" spans="1:17" s="65" customFormat="1" hidden="1" x14ac:dyDescent="0.25">
      <c r="A197" s="57"/>
      <c r="B197" s="88" t="s">
        <v>93</v>
      </c>
      <c r="C197" s="57"/>
      <c r="D197" s="57" t="s">
        <v>94</v>
      </c>
      <c r="E197" s="57"/>
      <c r="F197" s="89">
        <v>0</v>
      </c>
      <c r="G197" s="89"/>
      <c r="H197" s="89">
        <v>0</v>
      </c>
      <c r="I197" s="352">
        <v>0</v>
      </c>
      <c r="J197" s="352"/>
      <c r="K197" s="64"/>
      <c r="L197" s="64"/>
      <c r="M197" s="64"/>
      <c r="N197" s="64"/>
      <c r="O197" s="64"/>
      <c r="P197" s="64"/>
      <c r="Q197" s="64"/>
    </row>
    <row r="198" spans="1:17" s="62" customFormat="1" ht="15.75" hidden="1" customHeight="1" x14ac:dyDescent="0.25">
      <c r="A198" s="57"/>
      <c r="B198" s="88" t="s">
        <v>95</v>
      </c>
      <c r="C198" s="57"/>
      <c r="D198" s="57" t="s">
        <v>96</v>
      </c>
      <c r="E198" s="57"/>
      <c r="F198" s="89"/>
      <c r="G198" s="89"/>
      <c r="H198" s="89">
        <v>3716.24</v>
      </c>
      <c r="I198" s="352">
        <v>0</v>
      </c>
      <c r="J198" s="352"/>
      <c r="K198" s="58"/>
      <c r="L198" s="58"/>
      <c r="M198" s="58"/>
      <c r="N198" s="58"/>
      <c r="O198" s="58"/>
      <c r="P198" s="58"/>
      <c r="Q198" s="58"/>
    </row>
    <row r="199" spans="1:17" s="62" customFormat="1" ht="15.75" hidden="1" customHeight="1" x14ac:dyDescent="0.25">
      <c r="A199" s="82"/>
      <c r="B199" s="87" t="s">
        <v>97</v>
      </c>
      <c r="C199" s="82"/>
      <c r="D199" s="82" t="s">
        <v>98</v>
      </c>
      <c r="E199" s="82"/>
      <c r="F199" s="52">
        <f>SUM(F200)</f>
        <v>0</v>
      </c>
      <c r="G199" s="52"/>
      <c r="H199" s="52">
        <f>SUM(H200)</f>
        <v>124709.13</v>
      </c>
      <c r="I199" s="280">
        <f>SUM(I200)</f>
        <v>0</v>
      </c>
      <c r="J199" s="280"/>
      <c r="K199" s="58"/>
      <c r="L199" s="58"/>
      <c r="M199" s="58"/>
      <c r="N199" s="58"/>
      <c r="O199" s="58"/>
      <c r="P199" s="58"/>
      <c r="Q199" s="58"/>
    </row>
    <row r="200" spans="1:17" s="62" customFormat="1" ht="15.75" hidden="1" customHeight="1" x14ac:dyDescent="0.25">
      <c r="A200" s="57"/>
      <c r="B200" s="88" t="s">
        <v>99</v>
      </c>
      <c r="C200" s="57"/>
      <c r="D200" s="57" t="s">
        <v>98</v>
      </c>
      <c r="E200" s="57"/>
      <c r="F200" s="89"/>
      <c r="G200" s="89"/>
      <c r="H200" s="89">
        <f>118736.6+5972.53</f>
        <v>124709.13</v>
      </c>
      <c r="I200" s="352"/>
      <c r="J200" s="352"/>
      <c r="K200" s="58"/>
      <c r="L200" s="58"/>
      <c r="M200" s="58"/>
      <c r="N200" s="58"/>
      <c r="O200" s="58"/>
      <c r="P200" s="58"/>
      <c r="Q200" s="58"/>
    </row>
    <row r="201" spans="1:17" s="65" customFormat="1" ht="15.75" hidden="1" customHeight="1" x14ac:dyDescent="0.25">
      <c r="A201" s="82"/>
      <c r="B201" s="92">
        <v>313</v>
      </c>
      <c r="C201" s="82"/>
      <c r="D201" s="82" t="s">
        <v>100</v>
      </c>
      <c r="E201" s="82"/>
      <c r="F201" s="93">
        <f>SUM(F202:F202)</f>
        <v>0</v>
      </c>
      <c r="G201" s="93"/>
      <c r="H201" s="93">
        <f>SUM(H202:H202)</f>
        <v>89211.5</v>
      </c>
      <c r="I201" s="353">
        <f>SUM(I202:I202)</f>
        <v>0</v>
      </c>
      <c r="J201" s="353"/>
      <c r="K201" s="64"/>
      <c r="L201" s="64"/>
      <c r="M201" s="64"/>
      <c r="N201" s="64"/>
      <c r="O201" s="64"/>
      <c r="P201" s="64"/>
      <c r="Q201" s="64"/>
    </row>
    <row r="202" spans="1:17" s="65" customFormat="1" ht="15.75" hidden="1" customHeight="1" x14ac:dyDescent="0.25">
      <c r="A202" s="57"/>
      <c r="B202" s="94">
        <v>3132</v>
      </c>
      <c r="C202" s="57"/>
      <c r="D202" s="57" t="s">
        <v>101</v>
      </c>
      <c r="E202" s="57"/>
      <c r="F202" s="141"/>
      <c r="G202" s="141"/>
      <c r="H202" s="141">
        <f>69966.69+19244.81</f>
        <v>89211.5</v>
      </c>
      <c r="I202" s="354"/>
      <c r="J202" s="354"/>
      <c r="K202" s="64"/>
      <c r="L202" s="64"/>
      <c r="M202" s="64"/>
      <c r="N202" s="64"/>
      <c r="O202" s="64"/>
      <c r="P202" s="64"/>
      <c r="Q202" s="64"/>
    </row>
    <row r="203" spans="1:17" s="65" customFormat="1" ht="17.25" hidden="1" customHeight="1" x14ac:dyDescent="0.25">
      <c r="A203" s="82"/>
      <c r="B203" s="83">
        <v>32</v>
      </c>
      <c r="C203" s="84"/>
      <c r="D203" s="85" t="s">
        <v>102</v>
      </c>
      <c r="E203" s="85"/>
      <c r="F203" s="86">
        <f>F204+F209+F216+F226</f>
        <v>0</v>
      </c>
      <c r="G203" s="86"/>
      <c r="H203" s="86">
        <f>H204+H209+H216+H226</f>
        <v>3251678.54</v>
      </c>
      <c r="I203" s="276">
        <f>I204+I209+I216+I226</f>
        <v>0</v>
      </c>
      <c r="J203" s="276"/>
      <c r="K203" s="64"/>
      <c r="L203" s="64"/>
      <c r="M203" s="64"/>
      <c r="N203" s="64"/>
      <c r="O203" s="64"/>
      <c r="P203" s="64"/>
      <c r="Q203" s="64"/>
    </row>
    <row r="204" spans="1:17" s="65" customFormat="1" ht="15.75" hidden="1" customHeight="1" x14ac:dyDescent="0.25">
      <c r="A204" s="82"/>
      <c r="B204" s="87">
        <v>321</v>
      </c>
      <c r="C204" s="82"/>
      <c r="D204" s="82" t="s">
        <v>103</v>
      </c>
      <c r="E204" s="82"/>
      <c r="F204" s="52">
        <f>SUM(F205:F208)</f>
        <v>0</v>
      </c>
      <c r="G204" s="52"/>
      <c r="H204" s="52">
        <f>SUM(H205:H208)</f>
        <v>144375.34999999998</v>
      </c>
      <c r="I204" s="280">
        <f>SUM(I205:I208)</f>
        <v>0</v>
      </c>
      <c r="J204" s="280"/>
      <c r="K204" s="64"/>
      <c r="L204" s="64"/>
      <c r="M204" s="64"/>
      <c r="N204" s="64"/>
      <c r="O204" s="64"/>
      <c r="P204" s="64"/>
      <c r="Q204" s="64"/>
    </row>
    <row r="205" spans="1:17" s="65" customFormat="1" ht="15.75" hidden="1" customHeight="1" x14ac:dyDescent="0.25">
      <c r="A205" s="57"/>
      <c r="B205" s="88" t="s">
        <v>104</v>
      </c>
      <c r="C205" s="57"/>
      <c r="D205" s="57" t="s">
        <v>105</v>
      </c>
      <c r="E205" s="57"/>
      <c r="F205" s="89"/>
      <c r="G205" s="89"/>
      <c r="H205" s="89">
        <v>10269.299999999999</v>
      </c>
      <c r="I205" s="352"/>
      <c r="J205" s="352"/>
      <c r="K205" s="64"/>
      <c r="L205" s="64"/>
      <c r="M205" s="64"/>
      <c r="N205" s="64"/>
      <c r="O205" s="64"/>
      <c r="P205" s="64"/>
      <c r="Q205" s="64"/>
    </row>
    <row r="206" spans="1:17" s="65" customFormat="1" ht="15.75" hidden="1" customHeight="1" x14ac:dyDescent="0.25">
      <c r="A206" s="57"/>
      <c r="B206" s="88" t="s">
        <v>106</v>
      </c>
      <c r="C206" s="57"/>
      <c r="D206" s="98" t="s">
        <v>107</v>
      </c>
      <c r="E206" s="98"/>
      <c r="F206" s="89"/>
      <c r="G206" s="89"/>
      <c r="H206" s="89">
        <f>114312.43+9290.6</f>
        <v>123603.03</v>
      </c>
      <c r="I206" s="352"/>
      <c r="J206" s="352"/>
      <c r="K206" s="64"/>
      <c r="L206" s="64"/>
      <c r="M206" s="64"/>
      <c r="N206" s="64"/>
      <c r="O206" s="64"/>
      <c r="P206" s="64"/>
      <c r="Q206" s="64"/>
    </row>
    <row r="207" spans="1:17" s="65" customFormat="1" ht="15.75" hidden="1" customHeight="1" x14ac:dyDescent="0.25">
      <c r="A207" s="57"/>
      <c r="B207" s="88" t="s">
        <v>108</v>
      </c>
      <c r="C207" s="57"/>
      <c r="D207" s="98" t="s">
        <v>109</v>
      </c>
      <c r="E207" s="98"/>
      <c r="F207" s="89"/>
      <c r="G207" s="89"/>
      <c r="H207" s="89">
        <v>10503.02</v>
      </c>
      <c r="I207" s="352"/>
      <c r="J207" s="352"/>
      <c r="K207" s="64"/>
      <c r="L207" s="64"/>
      <c r="M207" s="64"/>
      <c r="N207" s="64"/>
      <c r="O207" s="64"/>
      <c r="P207" s="64"/>
      <c r="Q207" s="64"/>
    </row>
    <row r="208" spans="1:17" s="65" customFormat="1" ht="15.75" hidden="1" customHeight="1" x14ac:dyDescent="0.25">
      <c r="A208" s="57"/>
      <c r="B208" s="88" t="s">
        <v>110</v>
      </c>
      <c r="C208" s="57"/>
      <c r="D208" s="98" t="s">
        <v>111</v>
      </c>
      <c r="E208" s="98"/>
      <c r="F208" s="89">
        <v>0</v>
      </c>
      <c r="G208" s="89"/>
      <c r="H208" s="89">
        <v>0</v>
      </c>
      <c r="I208" s="352">
        <v>0</v>
      </c>
      <c r="J208" s="352"/>
      <c r="K208" s="64"/>
      <c r="L208" s="64"/>
      <c r="M208" s="64"/>
      <c r="N208" s="64"/>
      <c r="O208" s="64"/>
      <c r="P208" s="64"/>
      <c r="Q208" s="64"/>
    </row>
    <row r="209" spans="1:17" s="65" customFormat="1" ht="15.75" hidden="1" customHeight="1" x14ac:dyDescent="0.25">
      <c r="A209" s="82"/>
      <c r="B209" s="87" t="s">
        <v>112</v>
      </c>
      <c r="C209" s="82"/>
      <c r="D209" s="97" t="s">
        <v>113</v>
      </c>
      <c r="E209" s="97"/>
      <c r="F209" s="52">
        <f>SUM(F210:F215)</f>
        <v>0</v>
      </c>
      <c r="G209" s="52"/>
      <c r="H209" s="52">
        <f>SUM(H210:H215)</f>
        <v>2761826.91</v>
      </c>
      <c r="I209" s="280">
        <f>SUM(I210:I215)</f>
        <v>0</v>
      </c>
      <c r="J209" s="280"/>
      <c r="K209" s="64"/>
      <c r="L209" s="64"/>
      <c r="M209" s="64"/>
      <c r="N209" s="64"/>
      <c r="O209" s="64"/>
      <c r="P209" s="64"/>
      <c r="Q209" s="64"/>
    </row>
    <row r="210" spans="1:17" s="65" customFormat="1" ht="15.75" hidden="1" customHeight="1" x14ac:dyDescent="0.25">
      <c r="A210" s="82"/>
      <c r="B210" s="88" t="s">
        <v>114</v>
      </c>
      <c r="C210" s="82"/>
      <c r="D210" s="57" t="s">
        <v>115</v>
      </c>
      <c r="E210" s="57"/>
      <c r="F210" s="89"/>
      <c r="G210" s="89"/>
      <c r="H210" s="89">
        <f>7846.44+5308.91</f>
        <v>13155.349999999999</v>
      </c>
      <c r="I210" s="352"/>
      <c r="J210" s="352"/>
      <c r="K210" s="64"/>
      <c r="L210" s="64"/>
      <c r="M210" s="64"/>
      <c r="N210" s="64"/>
      <c r="O210" s="64"/>
      <c r="P210" s="64"/>
      <c r="Q210" s="64"/>
    </row>
    <row r="211" spans="1:17" s="62" customFormat="1" ht="15.75" hidden="1" customHeight="1" x14ac:dyDescent="0.25">
      <c r="A211" s="82"/>
      <c r="B211" s="88" t="s">
        <v>116</v>
      </c>
      <c r="C211" s="82"/>
      <c r="D211" s="57" t="s">
        <v>117</v>
      </c>
      <c r="E211" s="57"/>
      <c r="F211" s="89"/>
      <c r="G211" s="89"/>
      <c r="H211" s="89">
        <f>2489044.39+19908.42</f>
        <v>2508952.81</v>
      </c>
      <c r="I211" s="352"/>
      <c r="J211" s="352"/>
      <c r="K211" s="58"/>
      <c r="L211" s="58"/>
      <c r="M211" s="58"/>
      <c r="N211" s="58"/>
      <c r="O211" s="58"/>
      <c r="P211" s="58"/>
      <c r="Q211" s="58"/>
    </row>
    <row r="212" spans="1:17" s="62" customFormat="1" hidden="1" x14ac:dyDescent="0.25">
      <c r="A212" s="82"/>
      <c r="B212" s="88" t="s">
        <v>118</v>
      </c>
      <c r="C212" s="82"/>
      <c r="D212" s="57" t="s">
        <v>119</v>
      </c>
      <c r="E212" s="57"/>
      <c r="F212" s="89"/>
      <c r="G212" s="89"/>
      <c r="H212" s="89">
        <f>214555.97+4645.3</f>
        <v>219201.27</v>
      </c>
      <c r="I212" s="352"/>
      <c r="J212" s="352"/>
      <c r="K212" s="58"/>
      <c r="L212" s="58"/>
      <c r="M212" s="58"/>
      <c r="N212" s="58"/>
      <c r="O212" s="58"/>
      <c r="P212" s="58"/>
      <c r="Q212" s="58"/>
    </row>
    <row r="213" spans="1:17" s="65" customFormat="1" hidden="1" x14ac:dyDescent="0.25">
      <c r="A213" s="82"/>
      <c r="B213" s="88" t="s">
        <v>120</v>
      </c>
      <c r="C213" s="82"/>
      <c r="D213" s="98" t="s">
        <v>121</v>
      </c>
      <c r="E213" s="98"/>
      <c r="F213" s="89"/>
      <c r="G213" s="89"/>
      <c r="H213" s="89">
        <f>711.79+464.53</f>
        <v>1176.32</v>
      </c>
      <c r="I213" s="352"/>
      <c r="J213" s="352"/>
      <c r="K213" s="64"/>
      <c r="L213" s="64"/>
      <c r="M213" s="64"/>
      <c r="N213" s="64"/>
      <c r="O213" s="64"/>
      <c r="P213" s="64"/>
      <c r="Q213" s="64"/>
    </row>
    <row r="214" spans="1:17" s="65" customFormat="1" hidden="1" x14ac:dyDescent="0.25">
      <c r="A214" s="82"/>
      <c r="B214" s="88" t="s">
        <v>122</v>
      </c>
      <c r="C214" s="82"/>
      <c r="D214" s="98" t="s">
        <v>123</v>
      </c>
      <c r="E214" s="98"/>
      <c r="F214" s="89"/>
      <c r="G214" s="89"/>
      <c r="H214" s="89">
        <f>8059.72+1990.84</f>
        <v>10050.56</v>
      </c>
      <c r="I214" s="352"/>
      <c r="J214" s="352"/>
      <c r="K214" s="64"/>
      <c r="L214" s="64"/>
      <c r="M214" s="64"/>
      <c r="N214" s="64"/>
      <c r="O214" s="64"/>
      <c r="P214" s="64"/>
      <c r="Q214" s="64"/>
    </row>
    <row r="215" spans="1:17" s="65" customFormat="1" hidden="1" x14ac:dyDescent="0.25">
      <c r="A215" s="82"/>
      <c r="B215" s="88" t="s">
        <v>124</v>
      </c>
      <c r="C215" s="82"/>
      <c r="D215" s="98" t="s">
        <v>125</v>
      </c>
      <c r="E215" s="98"/>
      <c r="F215" s="89">
        <v>0</v>
      </c>
      <c r="G215" s="89"/>
      <c r="H215" s="89">
        <v>9290.6</v>
      </c>
      <c r="I215" s="352">
        <v>0</v>
      </c>
      <c r="J215" s="352"/>
      <c r="K215" s="64"/>
      <c r="L215" s="64"/>
      <c r="M215" s="64"/>
      <c r="N215" s="64"/>
      <c r="O215" s="64"/>
      <c r="P215" s="64"/>
      <c r="Q215" s="64"/>
    </row>
    <row r="216" spans="1:17" s="65" customFormat="1" ht="14.25" hidden="1" x14ac:dyDescent="0.25">
      <c r="A216" s="82"/>
      <c r="B216" s="87" t="s">
        <v>126</v>
      </c>
      <c r="C216" s="82"/>
      <c r="D216" s="97" t="s">
        <v>127</v>
      </c>
      <c r="E216" s="97"/>
      <c r="F216" s="52">
        <f>SUM(F217:F225)</f>
        <v>0</v>
      </c>
      <c r="G216" s="52"/>
      <c r="H216" s="52">
        <f>SUM(H217:H225)</f>
        <v>254940.86</v>
      </c>
      <c r="I216" s="280">
        <f>SUM(I217:I225)</f>
        <v>0</v>
      </c>
      <c r="J216" s="280"/>
      <c r="K216" s="64"/>
      <c r="L216" s="64"/>
      <c r="M216" s="64"/>
      <c r="N216" s="64"/>
      <c r="O216" s="64"/>
      <c r="P216" s="64"/>
      <c r="Q216" s="64"/>
    </row>
    <row r="217" spans="1:17" s="65" customFormat="1" hidden="1" x14ac:dyDescent="0.25">
      <c r="A217" s="82"/>
      <c r="B217" s="88" t="s">
        <v>128</v>
      </c>
      <c r="C217" s="82"/>
      <c r="D217" s="98" t="s">
        <v>129</v>
      </c>
      <c r="E217" s="98"/>
      <c r="F217" s="89"/>
      <c r="G217" s="89"/>
      <c r="H217" s="89">
        <v>44747.89</v>
      </c>
      <c r="I217" s="352"/>
      <c r="J217" s="352"/>
      <c r="K217" s="64"/>
      <c r="L217" s="64"/>
      <c r="M217" s="64"/>
      <c r="N217" s="64"/>
      <c r="O217" s="64"/>
      <c r="P217" s="64"/>
      <c r="Q217" s="64"/>
    </row>
    <row r="218" spans="1:17" s="65" customFormat="1" hidden="1" x14ac:dyDescent="0.25">
      <c r="A218" s="82"/>
      <c r="B218" s="88" t="s">
        <v>130</v>
      </c>
      <c r="C218" s="82"/>
      <c r="D218" s="98" t="s">
        <v>131</v>
      </c>
      <c r="E218" s="98"/>
      <c r="F218" s="89"/>
      <c r="G218" s="89"/>
      <c r="H218" s="89">
        <f>71006.7+199.08</f>
        <v>71205.78</v>
      </c>
      <c r="I218" s="352"/>
      <c r="J218" s="352"/>
      <c r="K218" s="64"/>
      <c r="L218" s="64"/>
      <c r="M218" s="64"/>
      <c r="N218" s="64"/>
      <c r="O218" s="64"/>
      <c r="P218" s="64"/>
      <c r="Q218" s="64"/>
    </row>
    <row r="219" spans="1:17" s="65" customFormat="1" hidden="1" x14ac:dyDescent="0.25">
      <c r="A219" s="82"/>
      <c r="B219" s="88" t="s">
        <v>132</v>
      </c>
      <c r="C219" s="82"/>
      <c r="D219" s="98" t="s">
        <v>133</v>
      </c>
      <c r="E219" s="98"/>
      <c r="F219" s="89"/>
      <c r="G219" s="89"/>
      <c r="H219" s="89">
        <f>5939.21+663.61</f>
        <v>6602.82</v>
      </c>
      <c r="I219" s="352"/>
      <c r="J219" s="352"/>
      <c r="K219" s="64"/>
      <c r="L219" s="64"/>
      <c r="M219" s="64"/>
      <c r="N219" s="64"/>
      <c r="O219" s="64"/>
      <c r="P219" s="64"/>
      <c r="Q219" s="64"/>
    </row>
    <row r="220" spans="1:17" s="65" customFormat="1" hidden="1" x14ac:dyDescent="0.25">
      <c r="A220" s="82"/>
      <c r="B220" s="102" t="s">
        <v>134</v>
      </c>
      <c r="C220" s="103"/>
      <c r="D220" s="104" t="s">
        <v>135</v>
      </c>
      <c r="E220" s="104"/>
      <c r="F220" s="89"/>
      <c r="G220" s="89"/>
      <c r="H220" s="89">
        <v>7296.17</v>
      </c>
      <c r="I220" s="352"/>
      <c r="J220" s="352"/>
      <c r="K220" s="64"/>
      <c r="L220" s="64"/>
      <c r="M220" s="64"/>
      <c r="N220" s="64"/>
      <c r="O220" s="64"/>
      <c r="P220" s="64"/>
      <c r="Q220" s="64"/>
    </row>
    <row r="221" spans="1:17" s="65" customFormat="1" hidden="1" x14ac:dyDescent="0.25">
      <c r="A221" s="82"/>
      <c r="B221" s="102">
        <v>3235</v>
      </c>
      <c r="C221" s="103"/>
      <c r="D221" s="104" t="s">
        <v>136</v>
      </c>
      <c r="E221" s="104"/>
      <c r="F221" s="89"/>
      <c r="G221" s="89"/>
      <c r="H221" s="89">
        <v>1779.55</v>
      </c>
      <c r="I221" s="352"/>
      <c r="J221" s="352"/>
      <c r="K221" s="64"/>
      <c r="L221" s="64"/>
      <c r="M221" s="64"/>
      <c r="N221" s="64"/>
      <c r="O221" s="64"/>
      <c r="P221" s="64"/>
      <c r="Q221" s="64"/>
    </row>
    <row r="222" spans="1:17" s="65" customFormat="1" hidden="1" x14ac:dyDescent="0.25">
      <c r="A222" s="82"/>
      <c r="B222" s="102">
        <v>3236</v>
      </c>
      <c r="C222" s="103"/>
      <c r="D222" s="104" t="s">
        <v>137</v>
      </c>
      <c r="E222" s="104"/>
      <c r="F222" s="89"/>
      <c r="G222" s="89"/>
      <c r="H222" s="89">
        <v>2654.46</v>
      </c>
      <c r="I222" s="352"/>
      <c r="J222" s="352"/>
      <c r="K222" s="64"/>
      <c r="L222" s="64"/>
      <c r="M222" s="64"/>
      <c r="N222" s="64"/>
      <c r="O222" s="64"/>
      <c r="P222" s="64"/>
      <c r="Q222" s="64"/>
    </row>
    <row r="223" spans="1:17" s="65" customFormat="1" hidden="1" x14ac:dyDescent="0.25">
      <c r="A223" s="82"/>
      <c r="B223" s="102">
        <v>3237</v>
      </c>
      <c r="C223" s="103"/>
      <c r="D223" s="104" t="s">
        <v>138</v>
      </c>
      <c r="E223" s="104"/>
      <c r="F223" s="89"/>
      <c r="G223" s="89"/>
      <c r="H223" s="89">
        <v>80051.100000000006</v>
      </c>
      <c r="I223" s="352">
        <v>0</v>
      </c>
      <c r="J223" s="352"/>
      <c r="K223" s="64"/>
      <c r="L223" s="64"/>
      <c r="M223" s="64"/>
      <c r="N223" s="64"/>
      <c r="O223" s="64"/>
      <c r="P223" s="64"/>
      <c r="Q223" s="64"/>
    </row>
    <row r="224" spans="1:17" s="65" customFormat="1" hidden="1" x14ac:dyDescent="0.25">
      <c r="A224" s="82"/>
      <c r="B224" s="102" t="s">
        <v>139</v>
      </c>
      <c r="C224" s="103"/>
      <c r="D224" s="104" t="s">
        <v>140</v>
      </c>
      <c r="E224" s="104"/>
      <c r="F224" s="89"/>
      <c r="G224" s="89"/>
      <c r="H224" s="89">
        <v>20620.21</v>
      </c>
      <c r="I224" s="352"/>
      <c r="J224" s="352"/>
      <c r="K224" s="64"/>
      <c r="L224" s="64"/>
      <c r="M224" s="64"/>
      <c r="N224" s="64"/>
      <c r="O224" s="64"/>
      <c r="P224" s="64"/>
      <c r="Q224" s="64"/>
    </row>
    <row r="225" spans="1:17" s="65" customFormat="1" ht="13.9" hidden="1" customHeight="1" x14ac:dyDescent="0.25">
      <c r="A225" s="57"/>
      <c r="B225" s="102" t="s">
        <v>141</v>
      </c>
      <c r="C225" s="103"/>
      <c r="D225" s="104" t="s">
        <v>142</v>
      </c>
      <c r="E225" s="104"/>
      <c r="F225" s="89"/>
      <c r="G225" s="89"/>
      <c r="H225" s="89">
        <f>16664.81+3318.07</f>
        <v>19982.88</v>
      </c>
      <c r="I225" s="352"/>
      <c r="J225" s="352"/>
      <c r="K225" s="64"/>
      <c r="L225" s="64"/>
      <c r="M225" s="64"/>
      <c r="N225" s="64"/>
      <c r="O225" s="64"/>
      <c r="P225" s="64"/>
      <c r="Q225" s="64"/>
    </row>
    <row r="226" spans="1:17" s="62" customFormat="1" hidden="1" x14ac:dyDescent="0.25">
      <c r="A226" s="57"/>
      <c r="B226" s="99">
        <v>329</v>
      </c>
      <c r="C226" s="100"/>
      <c r="D226" s="101" t="s">
        <v>144</v>
      </c>
      <c r="E226" s="101"/>
      <c r="F226" s="52">
        <f>SUM(F227:F233)</f>
        <v>0</v>
      </c>
      <c r="G226" s="52"/>
      <c r="H226" s="52">
        <f>SUM(H227:H233)</f>
        <v>90535.42</v>
      </c>
      <c r="I226" s="280">
        <f>SUM(I227:I233)</f>
        <v>0</v>
      </c>
      <c r="J226" s="280"/>
      <c r="K226" s="58"/>
      <c r="L226" s="58"/>
      <c r="M226" s="58"/>
      <c r="N226" s="58"/>
      <c r="O226" s="58"/>
      <c r="P226" s="58"/>
      <c r="Q226" s="58"/>
    </row>
    <row r="227" spans="1:17" s="62" customFormat="1" hidden="1" x14ac:dyDescent="0.25">
      <c r="A227" s="57"/>
      <c r="B227" s="102" t="s">
        <v>145</v>
      </c>
      <c r="C227" s="103"/>
      <c r="D227" s="119" t="s">
        <v>146</v>
      </c>
      <c r="E227" s="119"/>
      <c r="F227" s="89"/>
      <c r="G227" s="89"/>
      <c r="H227" s="89">
        <v>2758.38</v>
      </c>
      <c r="I227" s="352"/>
      <c r="J227" s="352"/>
      <c r="K227" s="58"/>
      <c r="L227" s="58"/>
      <c r="M227" s="58"/>
      <c r="N227" s="58"/>
      <c r="O227" s="58"/>
      <c r="P227" s="58"/>
      <c r="Q227" s="58"/>
    </row>
    <row r="228" spans="1:17" s="62" customFormat="1" hidden="1" x14ac:dyDescent="0.25">
      <c r="A228" s="57"/>
      <c r="B228" s="102">
        <v>3292</v>
      </c>
      <c r="C228" s="103"/>
      <c r="D228" s="104" t="s">
        <v>147</v>
      </c>
      <c r="E228" s="104"/>
      <c r="F228" s="89"/>
      <c r="G228" s="89"/>
      <c r="H228" s="89">
        <v>26299.96</v>
      </c>
      <c r="I228" s="352"/>
      <c r="J228" s="352"/>
      <c r="K228" s="58"/>
      <c r="L228" s="58"/>
      <c r="M228" s="58"/>
      <c r="N228" s="58"/>
      <c r="O228" s="58"/>
      <c r="P228" s="58"/>
      <c r="Q228" s="58"/>
    </row>
    <row r="229" spans="1:17" s="62" customFormat="1" hidden="1" x14ac:dyDescent="0.25">
      <c r="A229" s="57"/>
      <c r="B229" s="102">
        <v>3293</v>
      </c>
      <c r="C229" s="103"/>
      <c r="D229" s="104" t="s">
        <v>148</v>
      </c>
      <c r="E229" s="104"/>
      <c r="F229" s="89"/>
      <c r="G229" s="89"/>
      <c r="H229" s="89">
        <f>8593.67+1327.23</f>
        <v>9920.9</v>
      </c>
      <c r="I229" s="352"/>
      <c r="J229" s="352"/>
      <c r="K229" s="58"/>
      <c r="L229" s="58"/>
      <c r="M229" s="58"/>
      <c r="N229" s="58"/>
      <c r="O229" s="58"/>
      <c r="P229" s="58"/>
      <c r="Q229" s="58"/>
    </row>
    <row r="230" spans="1:17" s="143" customFormat="1" hidden="1" x14ac:dyDescent="0.25">
      <c r="A230" s="57"/>
      <c r="B230" s="102">
        <v>3294</v>
      </c>
      <c r="C230" s="103"/>
      <c r="D230" s="104" t="s">
        <v>149</v>
      </c>
      <c r="E230" s="104"/>
      <c r="F230" s="89"/>
      <c r="G230" s="89"/>
      <c r="H230" s="89">
        <v>3188.27</v>
      </c>
      <c r="I230" s="352"/>
      <c r="J230" s="352"/>
      <c r="K230" s="142"/>
      <c r="L230" s="142"/>
      <c r="M230" s="142"/>
      <c r="N230" s="142"/>
      <c r="O230" s="142"/>
      <c r="P230" s="142"/>
      <c r="Q230" s="142"/>
    </row>
    <row r="231" spans="1:17" s="145" customFormat="1" hidden="1" x14ac:dyDescent="0.25">
      <c r="A231" s="57"/>
      <c r="B231" s="122">
        <v>3295</v>
      </c>
      <c r="C231" s="103"/>
      <c r="D231" s="123" t="s">
        <v>150</v>
      </c>
      <c r="E231" s="123"/>
      <c r="F231" s="89"/>
      <c r="G231" s="89"/>
      <c r="H231" s="89">
        <v>8237.7099999999991</v>
      </c>
      <c r="I231" s="352"/>
      <c r="J231" s="352"/>
      <c r="K231" s="144"/>
      <c r="L231" s="144"/>
      <c r="M231" s="144"/>
      <c r="N231" s="144"/>
      <c r="O231" s="144"/>
      <c r="P231" s="144"/>
      <c r="Q231" s="144"/>
    </row>
    <row r="232" spans="1:17" s="147" customFormat="1" hidden="1" x14ac:dyDescent="0.25">
      <c r="A232" s="57"/>
      <c r="B232" s="122">
        <v>3296</v>
      </c>
      <c r="C232" s="103"/>
      <c r="D232" s="123" t="s">
        <v>151</v>
      </c>
      <c r="E232" s="123"/>
      <c r="F232" s="89"/>
      <c r="G232" s="89"/>
      <c r="H232" s="89">
        <v>39816.839999999997</v>
      </c>
      <c r="I232" s="352">
        <v>0</v>
      </c>
      <c r="J232" s="352"/>
      <c r="K232" s="146"/>
      <c r="L232" s="146"/>
      <c r="M232" s="146"/>
      <c r="N232" s="146"/>
      <c r="O232" s="146"/>
      <c r="P232" s="146"/>
      <c r="Q232" s="146"/>
    </row>
    <row r="233" spans="1:17" s="147" customFormat="1" hidden="1" x14ac:dyDescent="0.25">
      <c r="A233" s="57"/>
      <c r="B233" s="122" t="s">
        <v>152</v>
      </c>
      <c r="C233" s="103"/>
      <c r="D233" s="123" t="s">
        <v>144</v>
      </c>
      <c r="E233" s="123"/>
      <c r="F233" s="89"/>
      <c r="G233" s="89"/>
      <c r="H233" s="89">
        <v>313.36</v>
      </c>
      <c r="I233" s="352"/>
      <c r="J233" s="352"/>
      <c r="K233" s="146"/>
      <c r="L233" s="146"/>
      <c r="M233" s="146"/>
      <c r="N233" s="146"/>
      <c r="O233" s="146"/>
      <c r="P233" s="146"/>
      <c r="Q233" s="146"/>
    </row>
    <row r="234" spans="1:17" s="147" customFormat="1" hidden="1" x14ac:dyDescent="0.25">
      <c r="A234" s="57"/>
      <c r="B234" s="83">
        <v>34</v>
      </c>
      <c r="C234" s="84"/>
      <c r="D234" s="85" t="s">
        <v>153</v>
      </c>
      <c r="E234" s="85"/>
      <c r="F234" s="109">
        <f>SUM(F235)</f>
        <v>0</v>
      </c>
      <c r="G234" s="109"/>
      <c r="H234" s="109">
        <f>SUM(H235)</f>
        <v>9476.01</v>
      </c>
      <c r="I234" s="295">
        <f>SUM(I235)</f>
        <v>0</v>
      </c>
      <c r="J234" s="295"/>
      <c r="K234" s="146"/>
      <c r="L234" s="146"/>
      <c r="M234" s="146"/>
      <c r="N234" s="146"/>
      <c r="O234" s="146"/>
      <c r="P234" s="146"/>
      <c r="Q234" s="146"/>
    </row>
    <row r="235" spans="1:17" s="147" customFormat="1" hidden="1" x14ac:dyDescent="0.25">
      <c r="A235" s="57"/>
      <c r="B235" s="99">
        <v>343</v>
      </c>
      <c r="C235" s="100"/>
      <c r="D235" s="101" t="s">
        <v>154</v>
      </c>
      <c r="E235" s="101"/>
      <c r="F235" s="52">
        <f>SUM(F236:F239)</f>
        <v>0</v>
      </c>
      <c r="G235" s="52"/>
      <c r="H235" s="52">
        <f>SUM(H236:H239)</f>
        <v>9476.01</v>
      </c>
      <c r="I235" s="280">
        <f>SUM(I236:I239)</f>
        <v>0</v>
      </c>
      <c r="J235" s="280"/>
      <c r="K235" s="146"/>
      <c r="L235" s="146"/>
      <c r="M235" s="146"/>
      <c r="N235" s="146"/>
      <c r="O235" s="146"/>
      <c r="P235" s="146"/>
      <c r="Q235" s="146"/>
    </row>
    <row r="236" spans="1:17" s="59" customFormat="1" hidden="1" x14ac:dyDescent="0.25">
      <c r="A236" s="57"/>
      <c r="B236" s="102" t="s">
        <v>155</v>
      </c>
      <c r="C236" s="103"/>
      <c r="D236" s="104" t="s">
        <v>156</v>
      </c>
      <c r="E236" s="104"/>
      <c r="F236" s="89"/>
      <c r="G236" s="89"/>
      <c r="H236" s="89">
        <v>7436.99</v>
      </c>
      <c r="I236" s="352"/>
      <c r="J236" s="352"/>
      <c r="K236" s="148"/>
      <c r="L236" s="148"/>
      <c r="M236" s="148"/>
      <c r="N236" s="148"/>
      <c r="O236" s="148"/>
      <c r="P236" s="148"/>
      <c r="Q236" s="148"/>
    </row>
    <row r="237" spans="1:17" s="59" customFormat="1" hidden="1" x14ac:dyDescent="0.25">
      <c r="A237" s="57"/>
      <c r="B237" s="102">
        <v>3432</v>
      </c>
      <c r="C237" s="103"/>
      <c r="D237" s="104" t="s">
        <v>205</v>
      </c>
      <c r="E237" s="104"/>
      <c r="F237" s="89"/>
      <c r="G237" s="89"/>
      <c r="H237" s="89">
        <v>0</v>
      </c>
      <c r="I237" s="352">
        <v>0</v>
      </c>
      <c r="J237" s="352"/>
      <c r="K237" s="148"/>
      <c r="L237" s="148"/>
      <c r="M237" s="148"/>
      <c r="N237" s="148"/>
      <c r="O237" s="148"/>
      <c r="P237" s="148"/>
      <c r="Q237" s="148"/>
    </row>
    <row r="238" spans="1:17" s="143" customFormat="1" hidden="1" x14ac:dyDescent="0.25">
      <c r="A238" s="57"/>
      <c r="B238" s="122">
        <v>3433</v>
      </c>
      <c r="C238" s="103"/>
      <c r="D238" s="123" t="s">
        <v>157</v>
      </c>
      <c r="E238" s="123"/>
      <c r="F238" s="89"/>
      <c r="G238" s="89"/>
      <c r="H238" s="89">
        <v>711.79</v>
      </c>
      <c r="I238" s="352"/>
      <c r="J238" s="352"/>
      <c r="K238" s="142"/>
      <c r="L238" s="142"/>
      <c r="M238" s="142"/>
      <c r="N238" s="142"/>
      <c r="O238" s="142"/>
      <c r="P238" s="142"/>
      <c r="Q238" s="142"/>
    </row>
    <row r="239" spans="1:17" s="143" customFormat="1" hidden="1" x14ac:dyDescent="0.25">
      <c r="A239" s="57"/>
      <c r="B239" s="122">
        <v>3434</v>
      </c>
      <c r="C239" s="103"/>
      <c r="D239" s="123" t="s">
        <v>158</v>
      </c>
      <c r="E239" s="123"/>
      <c r="F239" s="89"/>
      <c r="G239" s="89"/>
      <c r="H239" s="89">
        <v>1327.23</v>
      </c>
      <c r="I239" s="352">
        <v>0</v>
      </c>
      <c r="J239" s="352"/>
      <c r="K239" s="142"/>
      <c r="L239" s="142"/>
      <c r="M239" s="142"/>
      <c r="N239" s="142"/>
      <c r="O239" s="142"/>
      <c r="P239" s="142"/>
      <c r="Q239" s="142"/>
    </row>
    <row r="240" spans="1:17" s="147" customFormat="1" hidden="1" x14ac:dyDescent="0.2">
      <c r="A240" s="57"/>
      <c r="B240" s="358">
        <v>37</v>
      </c>
      <c r="C240" s="359"/>
      <c r="D240" s="360" t="s">
        <v>162</v>
      </c>
      <c r="E240" s="360"/>
      <c r="F240" s="109">
        <f t="shared" ref="F240:I241" si="32">SUM(F241)</f>
        <v>0</v>
      </c>
      <c r="G240" s="109"/>
      <c r="H240" s="109">
        <f t="shared" si="32"/>
        <v>6901.58</v>
      </c>
      <c r="I240" s="295">
        <f t="shared" si="32"/>
        <v>0</v>
      </c>
      <c r="J240" s="295"/>
      <c r="K240" s="146"/>
      <c r="L240" s="146"/>
      <c r="M240" s="146"/>
      <c r="N240" s="146"/>
      <c r="O240" s="146"/>
      <c r="P240" s="146"/>
      <c r="Q240" s="146"/>
    </row>
    <row r="241" spans="1:17" s="147" customFormat="1" hidden="1" x14ac:dyDescent="0.2">
      <c r="A241" s="57"/>
      <c r="B241" s="361">
        <v>372</v>
      </c>
      <c r="C241" s="362"/>
      <c r="D241" s="363" t="s">
        <v>163</v>
      </c>
      <c r="E241" s="363"/>
      <c r="F241" s="52">
        <f t="shared" si="32"/>
        <v>0</v>
      </c>
      <c r="G241" s="52"/>
      <c r="H241" s="52">
        <f t="shared" si="32"/>
        <v>6901.58</v>
      </c>
      <c r="I241" s="280">
        <f t="shared" si="32"/>
        <v>0</v>
      </c>
      <c r="J241" s="280"/>
      <c r="K241" s="146"/>
      <c r="L241" s="146"/>
      <c r="M241" s="146"/>
      <c r="N241" s="146"/>
      <c r="O241" s="146"/>
      <c r="P241" s="146"/>
      <c r="Q241" s="146"/>
    </row>
    <row r="242" spans="1:17" s="337" customFormat="1" ht="15.75" hidden="1" x14ac:dyDescent="0.25">
      <c r="A242" s="57"/>
      <c r="B242" s="364">
        <v>3721</v>
      </c>
      <c r="C242" s="365"/>
      <c r="D242" s="366" t="s">
        <v>164</v>
      </c>
      <c r="E242" s="366"/>
      <c r="F242" s="89"/>
      <c r="G242" s="89"/>
      <c r="H242" s="89">
        <v>6901.58</v>
      </c>
      <c r="I242" s="352"/>
      <c r="J242" s="352"/>
    </row>
    <row r="243" spans="1:17" hidden="1" x14ac:dyDescent="0.25">
      <c r="A243" s="57"/>
      <c r="B243" s="83" t="s">
        <v>165</v>
      </c>
      <c r="C243" s="84"/>
      <c r="D243" s="85" t="s">
        <v>98</v>
      </c>
      <c r="E243" s="85"/>
      <c r="F243" s="109">
        <f>F246+F244</f>
        <v>0</v>
      </c>
      <c r="G243" s="109"/>
      <c r="H243" s="109">
        <f>H244+H246</f>
        <v>1770.66</v>
      </c>
      <c r="I243" s="295">
        <f>I244+I246</f>
        <v>0</v>
      </c>
      <c r="J243" s="295"/>
      <c r="K243" s="64"/>
      <c r="L243" s="159"/>
    </row>
    <row r="244" spans="1:17" hidden="1" x14ac:dyDescent="0.25">
      <c r="A244" s="57"/>
      <c r="B244" s="87" t="s">
        <v>166</v>
      </c>
      <c r="C244" s="82"/>
      <c r="D244" s="95" t="s">
        <v>68</v>
      </c>
      <c r="E244" s="95"/>
      <c r="F244" s="52">
        <f>SUM(F245)</f>
        <v>0</v>
      </c>
      <c r="G244" s="52"/>
      <c r="H244" s="52">
        <f>SUM(H245)</f>
        <v>1505.21</v>
      </c>
      <c r="I244" s="280">
        <f>SUM(I245)</f>
        <v>0</v>
      </c>
      <c r="J244" s="280"/>
      <c r="K244" s="64"/>
      <c r="L244" s="159"/>
    </row>
    <row r="245" spans="1:17" hidden="1" x14ac:dyDescent="0.25">
      <c r="A245" s="57"/>
      <c r="B245" s="88" t="s">
        <v>168</v>
      </c>
      <c r="C245" s="57"/>
      <c r="D245" s="96" t="s">
        <v>167</v>
      </c>
      <c r="E245" s="96"/>
      <c r="F245" s="89"/>
      <c r="G245" s="89"/>
      <c r="H245" s="89">
        <v>1505.21</v>
      </c>
      <c r="I245" s="352"/>
      <c r="J245" s="352"/>
      <c r="K245" s="64"/>
      <c r="L245" s="159"/>
    </row>
    <row r="246" spans="1:17" hidden="1" x14ac:dyDescent="0.25">
      <c r="A246" s="57"/>
      <c r="B246" s="120">
        <v>383</v>
      </c>
      <c r="C246" s="100"/>
      <c r="D246" s="121" t="s">
        <v>169</v>
      </c>
      <c r="E246" s="121"/>
      <c r="F246" s="52">
        <f>SUM(F247:F248)</f>
        <v>0</v>
      </c>
      <c r="G246" s="52"/>
      <c r="H246" s="52">
        <f>SUM(H247:H248)</f>
        <v>265.45</v>
      </c>
      <c r="I246" s="280">
        <f>SUM(I247:I248)</f>
        <v>0</v>
      </c>
      <c r="J246" s="280"/>
      <c r="L246" s="64"/>
    </row>
    <row r="247" spans="1:17" hidden="1" x14ac:dyDescent="0.25">
      <c r="A247" s="57"/>
      <c r="B247" s="122">
        <v>3834</v>
      </c>
      <c r="C247" s="103"/>
      <c r="D247" s="123" t="s">
        <v>172</v>
      </c>
      <c r="E247" s="123"/>
      <c r="F247" s="89"/>
      <c r="G247" s="89"/>
      <c r="H247" s="89">
        <v>265.45</v>
      </c>
      <c r="I247" s="352">
        <v>0</v>
      </c>
      <c r="J247" s="352"/>
    </row>
    <row r="248" spans="1:17" hidden="1" x14ac:dyDescent="0.25">
      <c r="A248" s="57"/>
      <c r="B248" s="122">
        <v>3835</v>
      </c>
      <c r="C248" s="103"/>
      <c r="D248" s="123" t="s">
        <v>173</v>
      </c>
      <c r="E248" s="123"/>
      <c r="F248" s="89"/>
      <c r="G248" s="89"/>
      <c r="H248" s="89">
        <v>0</v>
      </c>
      <c r="I248" s="352"/>
      <c r="J248" s="352"/>
    </row>
    <row r="249" spans="1:17" hidden="1" x14ac:dyDescent="0.25">
      <c r="A249" s="130">
        <v>4</v>
      </c>
      <c r="B249" s="106"/>
      <c r="C249" s="131"/>
      <c r="D249" s="132" t="s">
        <v>174</v>
      </c>
      <c r="E249" s="132"/>
      <c r="F249" s="108">
        <f>F250+F253</f>
        <v>0</v>
      </c>
      <c r="G249" s="108"/>
      <c r="H249" s="108">
        <f>H250+H253</f>
        <v>44926.680000000008</v>
      </c>
      <c r="I249" s="326">
        <f>I250+I253</f>
        <v>0</v>
      </c>
      <c r="J249" s="326"/>
    </row>
    <row r="250" spans="1:17" hidden="1" x14ac:dyDescent="0.25">
      <c r="A250" s="133"/>
      <c r="B250" s="83" t="s">
        <v>175</v>
      </c>
      <c r="C250" s="84"/>
      <c r="D250" s="111" t="s">
        <v>176</v>
      </c>
      <c r="E250" s="111"/>
      <c r="F250" s="109">
        <f t="shared" ref="F250:I251" si="33">SUM(F251)</f>
        <v>0</v>
      </c>
      <c r="G250" s="109"/>
      <c r="H250" s="109">
        <f t="shared" si="33"/>
        <v>0</v>
      </c>
      <c r="I250" s="295">
        <f t="shared" si="33"/>
        <v>0</v>
      </c>
      <c r="J250" s="295"/>
    </row>
    <row r="251" spans="1:17" hidden="1" x14ac:dyDescent="0.25">
      <c r="A251" s="133"/>
      <c r="B251" s="99">
        <v>412</v>
      </c>
      <c r="C251" s="92"/>
      <c r="D251" s="54" t="s">
        <v>181</v>
      </c>
      <c r="E251" s="54"/>
      <c r="F251" s="52">
        <f t="shared" si="33"/>
        <v>0</v>
      </c>
      <c r="G251" s="52"/>
      <c r="H251" s="52">
        <f t="shared" si="33"/>
        <v>0</v>
      </c>
      <c r="I251" s="280">
        <f t="shared" si="33"/>
        <v>0</v>
      </c>
      <c r="J251" s="280"/>
    </row>
    <row r="252" spans="1:17" hidden="1" x14ac:dyDescent="0.25">
      <c r="A252" s="110"/>
      <c r="B252" s="102">
        <v>4123</v>
      </c>
      <c r="C252" s="94"/>
      <c r="D252" s="55" t="s">
        <v>182</v>
      </c>
      <c r="E252" s="55"/>
      <c r="F252" s="89">
        <v>0</v>
      </c>
      <c r="G252" s="89"/>
      <c r="H252" s="89">
        <v>0</v>
      </c>
      <c r="I252" s="352">
        <v>0</v>
      </c>
      <c r="J252" s="352"/>
    </row>
    <row r="253" spans="1:17" hidden="1" x14ac:dyDescent="0.25">
      <c r="A253" s="57"/>
      <c r="B253" s="83">
        <v>42</v>
      </c>
      <c r="C253" s="84"/>
      <c r="D253" s="85" t="s">
        <v>183</v>
      </c>
      <c r="E253" s="85"/>
      <c r="F253" s="109">
        <f>SUM(F254,F256,F265)</f>
        <v>0</v>
      </c>
      <c r="G253" s="109"/>
      <c r="H253" s="109">
        <f>SUM(H254,H256,H265)</f>
        <v>44926.680000000008</v>
      </c>
      <c r="I253" s="295">
        <f>SUM(I254,I256,I265,I263)</f>
        <v>0</v>
      </c>
      <c r="J253" s="295"/>
    </row>
    <row r="254" spans="1:17" hidden="1" x14ac:dyDescent="0.25">
      <c r="A254" s="57"/>
      <c r="B254" s="87" t="s">
        <v>206</v>
      </c>
      <c r="C254" s="82"/>
      <c r="D254" s="95" t="s">
        <v>207</v>
      </c>
      <c r="E254" s="95"/>
      <c r="F254" s="52">
        <f>SUM(F255)</f>
        <v>0</v>
      </c>
      <c r="G254" s="52"/>
      <c r="H254" s="52">
        <f>SUM(H255)</f>
        <v>18581.2</v>
      </c>
      <c r="I254" s="280">
        <f>SUM(I255)</f>
        <v>0</v>
      </c>
      <c r="J254" s="280"/>
    </row>
    <row r="255" spans="1:17" hidden="1" x14ac:dyDescent="0.25">
      <c r="A255" s="57"/>
      <c r="B255" s="88" t="s">
        <v>208</v>
      </c>
      <c r="C255" s="57"/>
      <c r="D255" s="96" t="s">
        <v>209</v>
      </c>
      <c r="E255" s="96"/>
      <c r="F255" s="89"/>
      <c r="G255" s="89"/>
      <c r="H255" s="89">
        <v>18581.2</v>
      </c>
      <c r="I255" s="352">
        <v>0</v>
      </c>
      <c r="J255" s="352"/>
    </row>
    <row r="256" spans="1:17" hidden="1" x14ac:dyDescent="0.25">
      <c r="A256" s="57"/>
      <c r="B256" s="87">
        <v>422</v>
      </c>
      <c r="C256" s="57"/>
      <c r="D256" s="82" t="s">
        <v>184</v>
      </c>
      <c r="E256" s="82"/>
      <c r="F256" s="52">
        <f>SUM(F257:F262)</f>
        <v>0</v>
      </c>
      <c r="G256" s="52"/>
      <c r="H256" s="52">
        <f>SUM(H257:H261)</f>
        <v>26345.480000000003</v>
      </c>
      <c r="I256" s="280">
        <f>SUM(I257:I261)</f>
        <v>0</v>
      </c>
      <c r="J256" s="280"/>
    </row>
    <row r="257" spans="1:10" hidden="1" x14ac:dyDescent="0.25">
      <c r="A257" s="57"/>
      <c r="B257" s="88" t="s">
        <v>185</v>
      </c>
      <c r="C257" s="57"/>
      <c r="D257" s="57" t="s">
        <v>186</v>
      </c>
      <c r="E257" s="57"/>
      <c r="F257" s="89"/>
      <c r="G257" s="89"/>
      <c r="H257" s="89">
        <f>1327.23</f>
        <v>1327.23</v>
      </c>
      <c r="I257" s="352"/>
      <c r="J257" s="352"/>
    </row>
    <row r="258" spans="1:10" hidden="1" x14ac:dyDescent="0.25">
      <c r="A258" s="57"/>
      <c r="B258" s="88" t="s">
        <v>187</v>
      </c>
      <c r="C258" s="57"/>
      <c r="D258" s="57" t="s">
        <v>188</v>
      </c>
      <c r="E258" s="57"/>
      <c r="F258" s="89"/>
      <c r="G258" s="89"/>
      <c r="H258" s="89">
        <v>132.72</v>
      </c>
      <c r="I258" s="352">
        <v>0</v>
      </c>
      <c r="J258" s="352"/>
    </row>
    <row r="259" spans="1:10" hidden="1" x14ac:dyDescent="0.25">
      <c r="A259" s="110"/>
      <c r="B259" s="102">
        <v>4223</v>
      </c>
      <c r="C259" s="94"/>
      <c r="D259" s="55" t="s">
        <v>189</v>
      </c>
      <c r="E259" s="55"/>
      <c r="F259" s="89">
        <v>0</v>
      </c>
      <c r="G259" s="89"/>
      <c r="H259" s="89">
        <f>1990.84</f>
        <v>1990.84</v>
      </c>
      <c r="I259" s="352">
        <v>0</v>
      </c>
      <c r="J259" s="352"/>
    </row>
    <row r="260" spans="1:10" hidden="1" x14ac:dyDescent="0.25">
      <c r="A260" s="110"/>
      <c r="B260" s="102">
        <v>4224</v>
      </c>
      <c r="C260" s="94"/>
      <c r="D260" s="55" t="s">
        <v>190</v>
      </c>
      <c r="E260" s="55"/>
      <c r="F260" s="89"/>
      <c r="G260" s="89"/>
      <c r="H260" s="89">
        <f>22562.88+331.81</f>
        <v>22894.690000000002</v>
      </c>
      <c r="I260" s="352"/>
      <c r="J260" s="352"/>
    </row>
    <row r="261" spans="1:10" hidden="1" x14ac:dyDescent="0.25">
      <c r="A261" s="110"/>
      <c r="B261" s="102">
        <v>4225</v>
      </c>
      <c r="C261" s="94"/>
      <c r="D261" s="55" t="s">
        <v>191</v>
      </c>
      <c r="E261" s="55"/>
      <c r="F261" s="89">
        <v>0</v>
      </c>
      <c r="G261" s="89"/>
      <c r="H261" s="89">
        <v>0</v>
      </c>
      <c r="I261" s="352">
        <v>0</v>
      </c>
      <c r="J261" s="352"/>
    </row>
    <row r="262" spans="1:10" hidden="1" x14ac:dyDescent="0.25">
      <c r="A262" s="110"/>
      <c r="B262" s="102">
        <v>4227</v>
      </c>
      <c r="C262" s="94"/>
      <c r="D262" s="55" t="s">
        <v>192</v>
      </c>
      <c r="E262" s="55"/>
      <c r="F262" s="89"/>
      <c r="G262" s="89"/>
      <c r="H262" s="89">
        <v>0</v>
      </c>
      <c r="I262" s="352">
        <v>0</v>
      </c>
      <c r="J262" s="352"/>
    </row>
    <row r="263" spans="1:10" s="64" customFormat="1" ht="14.25" hidden="1" x14ac:dyDescent="0.25">
      <c r="A263" s="133"/>
      <c r="B263" s="99">
        <v>423</v>
      </c>
      <c r="C263" s="92"/>
      <c r="D263" s="54" t="s">
        <v>193</v>
      </c>
      <c r="E263" s="54"/>
      <c r="F263" s="52"/>
      <c r="G263" s="52"/>
      <c r="H263" s="52"/>
      <c r="I263" s="280">
        <f>I264</f>
        <v>0</v>
      </c>
      <c r="J263" s="280"/>
    </row>
    <row r="264" spans="1:10" hidden="1" x14ac:dyDescent="0.25">
      <c r="A264" s="110"/>
      <c r="B264" s="102">
        <v>4231</v>
      </c>
      <c r="C264" s="94"/>
      <c r="D264" s="55" t="s">
        <v>80</v>
      </c>
      <c r="E264" s="55"/>
      <c r="F264" s="89"/>
      <c r="G264" s="89"/>
      <c r="H264" s="89"/>
      <c r="I264" s="352"/>
      <c r="J264" s="352"/>
    </row>
    <row r="265" spans="1:10" hidden="1" x14ac:dyDescent="0.25">
      <c r="A265" s="110"/>
      <c r="B265" s="99">
        <v>426</v>
      </c>
      <c r="C265" s="92"/>
      <c r="D265" s="54" t="s">
        <v>194</v>
      </c>
      <c r="E265" s="54"/>
      <c r="F265" s="52">
        <f>F266</f>
        <v>0</v>
      </c>
      <c r="G265" s="52"/>
      <c r="H265" s="52">
        <f>H266</f>
        <v>0</v>
      </c>
      <c r="I265" s="280">
        <f>I266</f>
        <v>0</v>
      </c>
      <c r="J265" s="280"/>
    </row>
    <row r="266" spans="1:10" hidden="1" x14ac:dyDescent="0.25">
      <c r="A266" s="110"/>
      <c r="B266" s="102">
        <v>4262</v>
      </c>
      <c r="C266" s="94"/>
      <c r="D266" s="55" t="s">
        <v>195</v>
      </c>
      <c r="E266" s="55"/>
      <c r="F266" s="89"/>
      <c r="G266" s="89"/>
      <c r="H266" s="89">
        <v>0</v>
      </c>
      <c r="I266" s="352">
        <v>0</v>
      </c>
      <c r="J266" s="352"/>
    </row>
    <row r="267" spans="1:10" hidden="1" x14ac:dyDescent="0.25">
      <c r="A267" s="136"/>
      <c r="B267" s="137"/>
      <c r="C267" s="160" t="s">
        <v>65</v>
      </c>
      <c r="D267" s="161" t="s">
        <v>210</v>
      </c>
      <c r="E267" s="161"/>
      <c r="F267" s="162">
        <f>F192+F249</f>
        <v>0</v>
      </c>
      <c r="G267" s="162"/>
      <c r="H267" s="162">
        <f>H192+H249</f>
        <v>4869046.5299999993</v>
      </c>
      <c r="I267" s="367">
        <f>I192+I249</f>
        <v>0</v>
      </c>
      <c r="J267" s="367"/>
    </row>
    <row r="268" spans="1:10" hidden="1" x14ac:dyDescent="0.25">
      <c r="A268" s="79" t="s">
        <v>86</v>
      </c>
      <c r="B268" s="79"/>
      <c r="C268" s="80"/>
      <c r="D268" s="72" t="s">
        <v>87</v>
      </c>
      <c r="E268" s="72"/>
      <c r="F268" s="163">
        <f>F269+F276</f>
        <v>0</v>
      </c>
      <c r="G268" s="163"/>
      <c r="H268" s="368">
        <f>H269+H276</f>
        <v>347388.68</v>
      </c>
      <c r="I268" s="369">
        <f>I269+I276</f>
        <v>0</v>
      </c>
      <c r="J268" s="369"/>
    </row>
    <row r="269" spans="1:10" hidden="1" x14ac:dyDescent="0.25">
      <c r="A269" s="82"/>
      <c r="B269" s="83">
        <v>31</v>
      </c>
      <c r="C269" s="84"/>
      <c r="D269" s="85" t="s">
        <v>88</v>
      </c>
      <c r="E269" s="85"/>
      <c r="F269" s="86">
        <f>F270+F274</f>
        <v>0</v>
      </c>
      <c r="G269" s="86"/>
      <c r="H269" s="86">
        <f>H270+H274</f>
        <v>347388.68</v>
      </c>
      <c r="I269" s="276">
        <f>I270+I274</f>
        <v>0</v>
      </c>
      <c r="J269" s="276"/>
    </row>
    <row r="270" spans="1:10" hidden="1" x14ac:dyDescent="0.25">
      <c r="A270" s="82"/>
      <c r="B270" s="87">
        <v>311</v>
      </c>
      <c r="C270" s="57"/>
      <c r="D270" s="82" t="s">
        <v>89</v>
      </c>
      <c r="E270" s="82"/>
      <c r="F270" s="93">
        <f>SUM(F271:F273)</f>
        <v>0</v>
      </c>
      <c r="G270" s="93"/>
      <c r="H270" s="93">
        <f>SUM(H271:H273)</f>
        <v>330612.52</v>
      </c>
      <c r="I270" s="353">
        <f>SUM(I271,I273)</f>
        <v>0</v>
      </c>
      <c r="J270" s="353"/>
    </row>
    <row r="271" spans="1:10" hidden="1" x14ac:dyDescent="0.25">
      <c r="A271" s="82"/>
      <c r="B271" s="88">
        <v>3111</v>
      </c>
      <c r="C271" s="57"/>
      <c r="D271" s="57" t="s">
        <v>90</v>
      </c>
      <c r="E271" s="57"/>
      <c r="F271" s="141"/>
      <c r="G271" s="141"/>
      <c r="H271" s="166">
        <f>173999.6+21235.65</f>
        <v>195235.25</v>
      </c>
      <c r="I271" s="354"/>
      <c r="J271" s="354"/>
    </row>
    <row r="272" spans="1:10" hidden="1" x14ac:dyDescent="0.25">
      <c r="A272" s="82"/>
      <c r="B272" s="88" t="s">
        <v>93</v>
      </c>
      <c r="C272" s="57"/>
      <c r="D272" s="57" t="s">
        <v>94</v>
      </c>
      <c r="E272" s="57"/>
      <c r="F272" s="141">
        <v>0</v>
      </c>
      <c r="G272" s="141"/>
      <c r="H272" s="166">
        <v>16988.52</v>
      </c>
      <c r="I272" s="354">
        <v>0</v>
      </c>
      <c r="J272" s="354"/>
    </row>
    <row r="273" spans="1:10" hidden="1" x14ac:dyDescent="0.25">
      <c r="A273" s="82"/>
      <c r="B273" s="88" t="s">
        <v>95</v>
      </c>
      <c r="C273" s="57"/>
      <c r="D273" s="57" t="s">
        <v>211</v>
      </c>
      <c r="E273" s="57"/>
      <c r="F273" s="141"/>
      <c r="G273" s="141"/>
      <c r="H273" s="166">
        <v>118388.75</v>
      </c>
      <c r="I273" s="354">
        <v>0</v>
      </c>
      <c r="J273" s="354"/>
    </row>
    <row r="274" spans="1:10" hidden="1" x14ac:dyDescent="0.25">
      <c r="A274" s="82"/>
      <c r="B274" s="87" t="s">
        <v>212</v>
      </c>
      <c r="C274" s="82"/>
      <c r="D274" s="82" t="s">
        <v>100</v>
      </c>
      <c r="E274" s="82"/>
      <c r="F274" s="164">
        <f>SUM(F275)</f>
        <v>0</v>
      </c>
      <c r="G274" s="164"/>
      <c r="H274" s="164">
        <f>SUM(H275)</f>
        <v>16776.16</v>
      </c>
      <c r="I274" s="370">
        <f>SUM(I275)</f>
        <v>0</v>
      </c>
      <c r="J274" s="370"/>
    </row>
    <row r="275" spans="1:10" hidden="1" x14ac:dyDescent="0.25">
      <c r="A275" s="82"/>
      <c r="B275" s="88" t="s">
        <v>213</v>
      </c>
      <c r="C275" s="57"/>
      <c r="D275" s="57" t="s">
        <v>214</v>
      </c>
      <c r="E275" s="57"/>
      <c r="F275" s="141"/>
      <c r="G275" s="141"/>
      <c r="H275" s="166">
        <v>16776.16</v>
      </c>
      <c r="I275" s="354">
        <v>0</v>
      </c>
      <c r="J275" s="354"/>
    </row>
    <row r="276" spans="1:10" hidden="1" x14ac:dyDescent="0.25">
      <c r="A276" s="82"/>
      <c r="B276" s="83">
        <v>32</v>
      </c>
      <c r="C276" s="84"/>
      <c r="D276" s="85" t="s">
        <v>102</v>
      </c>
      <c r="E276" s="85"/>
      <c r="F276" s="165">
        <f>SUM(F279+F277+F284+F290)</f>
        <v>0</v>
      </c>
      <c r="G276" s="165"/>
      <c r="H276" s="165">
        <v>0</v>
      </c>
      <c r="I276" s="371">
        <f>SUM(I277,I279,I284,I290)</f>
        <v>0</v>
      </c>
      <c r="J276" s="371"/>
    </row>
    <row r="277" spans="1:10" hidden="1" x14ac:dyDescent="0.25">
      <c r="A277" s="82"/>
      <c r="B277" s="87" t="s">
        <v>215</v>
      </c>
      <c r="C277" s="82"/>
      <c r="D277" s="95" t="s">
        <v>103</v>
      </c>
      <c r="E277" s="95"/>
      <c r="F277" s="164">
        <f>F278</f>
        <v>0</v>
      </c>
      <c r="G277" s="164"/>
      <c r="H277" s="164">
        <f>H278</f>
        <v>0</v>
      </c>
      <c r="I277" s="370">
        <f>I278</f>
        <v>0</v>
      </c>
      <c r="J277" s="370"/>
    </row>
    <row r="278" spans="1:10" hidden="1" x14ac:dyDescent="0.25">
      <c r="A278" s="57"/>
      <c r="B278" s="88" t="s">
        <v>106</v>
      </c>
      <c r="C278" s="57"/>
      <c r="D278" s="96" t="s">
        <v>107</v>
      </c>
      <c r="E278" s="96"/>
      <c r="F278" s="166"/>
      <c r="G278" s="166"/>
      <c r="H278" s="166">
        <v>0</v>
      </c>
      <c r="I278" s="372">
        <v>0</v>
      </c>
      <c r="J278" s="372"/>
    </row>
    <row r="279" spans="1:10" hidden="1" x14ac:dyDescent="0.25">
      <c r="A279" s="82"/>
      <c r="B279" s="87" t="s">
        <v>112</v>
      </c>
      <c r="C279" s="82"/>
      <c r="D279" s="82" t="s">
        <v>113</v>
      </c>
      <c r="E279" s="82"/>
      <c r="F279" s="93">
        <f>SUM(F280:F283)</f>
        <v>0</v>
      </c>
      <c r="G279" s="93"/>
      <c r="H279" s="93">
        <f>SUM(H281,H280)</f>
        <v>0</v>
      </c>
      <c r="I279" s="353">
        <f>SUM(I280:I283)</f>
        <v>0</v>
      </c>
      <c r="J279" s="353"/>
    </row>
    <row r="280" spans="1:10" hidden="1" x14ac:dyDescent="0.25">
      <c r="A280" s="57"/>
      <c r="B280" s="88" t="s">
        <v>114</v>
      </c>
      <c r="C280" s="57"/>
      <c r="D280" s="57" t="s">
        <v>115</v>
      </c>
      <c r="E280" s="57"/>
      <c r="F280" s="141"/>
      <c r="G280" s="141"/>
      <c r="H280" s="141">
        <v>0</v>
      </c>
      <c r="I280" s="354"/>
      <c r="J280" s="354"/>
    </row>
    <row r="281" spans="1:10" hidden="1" x14ac:dyDescent="0.25">
      <c r="A281" s="82"/>
      <c r="B281" s="88" t="s">
        <v>116</v>
      </c>
      <c r="C281" s="57"/>
      <c r="D281" s="57" t="s">
        <v>117</v>
      </c>
      <c r="E281" s="57"/>
      <c r="F281" s="141"/>
      <c r="G281" s="141"/>
      <c r="H281" s="166">
        <v>0</v>
      </c>
      <c r="I281" s="354">
        <v>0</v>
      </c>
      <c r="J281" s="354"/>
    </row>
    <row r="282" spans="1:10" hidden="1" x14ac:dyDescent="0.25">
      <c r="A282" s="82"/>
      <c r="B282" s="88" t="s">
        <v>118</v>
      </c>
      <c r="C282" s="57"/>
      <c r="D282" s="57" t="s">
        <v>119</v>
      </c>
      <c r="E282" s="57"/>
      <c r="F282" s="141"/>
      <c r="G282" s="141"/>
      <c r="H282" s="166">
        <v>0</v>
      </c>
      <c r="I282" s="354"/>
      <c r="J282" s="354"/>
    </row>
    <row r="283" spans="1:10" hidden="1" x14ac:dyDescent="0.25">
      <c r="A283" s="82"/>
      <c r="B283" s="88" t="s">
        <v>120</v>
      </c>
      <c r="C283" s="57"/>
      <c r="D283" s="57" t="s">
        <v>121</v>
      </c>
      <c r="E283" s="57"/>
      <c r="F283" s="141"/>
      <c r="G283" s="141"/>
      <c r="H283" s="166">
        <v>0</v>
      </c>
      <c r="I283" s="354">
        <v>0</v>
      </c>
      <c r="J283" s="354"/>
    </row>
    <row r="284" spans="1:10" hidden="1" x14ac:dyDescent="0.25">
      <c r="A284" s="82"/>
      <c r="B284" s="87" t="s">
        <v>126</v>
      </c>
      <c r="C284" s="82"/>
      <c r="D284" s="82" t="s">
        <v>127</v>
      </c>
      <c r="E284" s="82"/>
      <c r="F284" s="93">
        <f>SUM(F285:F289)</f>
        <v>0</v>
      </c>
      <c r="G284" s="93"/>
      <c r="H284" s="93">
        <f>SUM(H285:H289)</f>
        <v>0</v>
      </c>
      <c r="I284" s="353">
        <f>SUM(I285:I289)</f>
        <v>0</v>
      </c>
      <c r="J284" s="353"/>
    </row>
    <row r="285" spans="1:10" hidden="1" x14ac:dyDescent="0.25">
      <c r="A285" s="82"/>
      <c r="B285" s="88" t="s">
        <v>132</v>
      </c>
      <c r="C285" s="57"/>
      <c r="D285" s="57" t="s">
        <v>133</v>
      </c>
      <c r="E285" s="57"/>
      <c r="F285" s="141">
        <v>0</v>
      </c>
      <c r="G285" s="141"/>
      <c r="H285" s="166">
        <v>0</v>
      </c>
      <c r="I285" s="354"/>
      <c r="J285" s="354"/>
    </row>
    <row r="286" spans="1:10" hidden="1" x14ac:dyDescent="0.25">
      <c r="A286" s="82"/>
      <c r="B286" s="88" t="s">
        <v>134</v>
      </c>
      <c r="C286" s="57"/>
      <c r="D286" s="57" t="s">
        <v>135</v>
      </c>
      <c r="E286" s="57"/>
      <c r="F286" s="141"/>
      <c r="G286" s="141"/>
      <c r="H286" s="166">
        <v>0</v>
      </c>
      <c r="I286" s="354"/>
      <c r="J286" s="354"/>
    </row>
    <row r="287" spans="1:10" hidden="1" x14ac:dyDescent="0.25">
      <c r="A287" s="82"/>
      <c r="B287" s="88" t="s">
        <v>216</v>
      </c>
      <c r="C287" s="57"/>
      <c r="D287" s="57" t="s">
        <v>136</v>
      </c>
      <c r="E287" s="57"/>
      <c r="F287" s="141">
        <v>0</v>
      </c>
      <c r="G287" s="141"/>
      <c r="H287" s="166">
        <v>0</v>
      </c>
      <c r="I287" s="354"/>
      <c r="J287" s="354"/>
    </row>
    <row r="288" spans="1:10" hidden="1" x14ac:dyDescent="0.25">
      <c r="A288" s="82"/>
      <c r="B288" s="88" t="s">
        <v>217</v>
      </c>
      <c r="C288" s="57"/>
      <c r="D288" s="57" t="s">
        <v>137</v>
      </c>
      <c r="E288" s="57"/>
      <c r="F288" s="141"/>
      <c r="G288" s="141"/>
      <c r="H288" s="166">
        <v>0</v>
      </c>
      <c r="I288" s="354">
        <v>0</v>
      </c>
      <c r="J288" s="354"/>
    </row>
    <row r="289" spans="1:10" hidden="1" x14ac:dyDescent="0.25">
      <c r="A289" s="82"/>
      <c r="B289" s="88" t="s">
        <v>218</v>
      </c>
      <c r="C289" s="57"/>
      <c r="D289" s="57" t="s">
        <v>138</v>
      </c>
      <c r="E289" s="57"/>
      <c r="F289" s="141">
        <v>0</v>
      </c>
      <c r="G289" s="141"/>
      <c r="H289" s="166">
        <v>0</v>
      </c>
      <c r="I289" s="354"/>
      <c r="J289" s="354"/>
    </row>
    <row r="290" spans="1:10" hidden="1" x14ac:dyDescent="0.25">
      <c r="A290" s="82"/>
      <c r="B290" s="87" t="s">
        <v>219</v>
      </c>
      <c r="C290" s="82"/>
      <c r="D290" s="82" t="s">
        <v>220</v>
      </c>
      <c r="E290" s="82"/>
      <c r="F290" s="93">
        <f>SUM(F291:F292)</f>
        <v>0</v>
      </c>
      <c r="G290" s="93"/>
      <c r="H290" s="93">
        <f>SUM(H291:H292)</f>
        <v>0</v>
      </c>
      <c r="I290" s="353">
        <f>SUM(I291:I292)</f>
        <v>0</v>
      </c>
      <c r="J290" s="353"/>
    </row>
    <row r="291" spans="1:10" hidden="1" x14ac:dyDescent="0.25">
      <c r="A291" s="82"/>
      <c r="B291" s="88" t="s">
        <v>221</v>
      </c>
      <c r="C291" s="57"/>
      <c r="D291" s="57" t="s">
        <v>148</v>
      </c>
      <c r="E291" s="57"/>
      <c r="F291" s="141">
        <v>0</v>
      </c>
      <c r="G291" s="141"/>
      <c r="H291" s="166">
        <v>0</v>
      </c>
      <c r="I291" s="354"/>
      <c r="J291" s="354"/>
    </row>
    <row r="292" spans="1:10" hidden="1" x14ac:dyDescent="0.25">
      <c r="A292" s="82"/>
      <c r="B292" s="88" t="s">
        <v>222</v>
      </c>
      <c r="C292" s="57"/>
      <c r="D292" s="57" t="s">
        <v>150</v>
      </c>
      <c r="E292" s="57"/>
      <c r="F292" s="141">
        <v>0</v>
      </c>
      <c r="G292" s="141"/>
      <c r="H292" s="166">
        <v>0</v>
      </c>
      <c r="I292" s="354">
        <v>0</v>
      </c>
      <c r="J292" s="354"/>
    </row>
    <row r="293" spans="1:10" s="64" customFormat="1" ht="14.25" hidden="1" x14ac:dyDescent="0.25">
      <c r="A293" s="324">
        <v>4</v>
      </c>
      <c r="B293" s="373"/>
      <c r="C293" s="105"/>
      <c r="D293" s="132" t="s">
        <v>183</v>
      </c>
      <c r="E293" s="132"/>
      <c r="F293" s="167"/>
      <c r="G293" s="167"/>
      <c r="H293" s="374"/>
      <c r="I293" s="375">
        <f>I294</f>
        <v>0</v>
      </c>
      <c r="J293" s="375"/>
    </row>
    <row r="294" spans="1:10" s="64" customFormat="1" ht="14.25" hidden="1" x14ac:dyDescent="0.25">
      <c r="A294" s="82"/>
      <c r="B294" s="87" t="s">
        <v>223</v>
      </c>
      <c r="C294" s="82"/>
      <c r="D294" s="82" t="s">
        <v>184</v>
      </c>
      <c r="E294" s="82"/>
      <c r="F294" s="93"/>
      <c r="G294" s="93"/>
      <c r="H294" s="164"/>
      <c r="I294" s="353">
        <f>I295</f>
        <v>0</v>
      </c>
      <c r="J294" s="353"/>
    </row>
    <row r="295" spans="1:10" hidden="1" x14ac:dyDescent="0.25">
      <c r="A295" s="82"/>
      <c r="B295" s="88" t="s">
        <v>185</v>
      </c>
      <c r="C295" s="57"/>
      <c r="D295" s="57" t="s">
        <v>186</v>
      </c>
      <c r="E295" s="57"/>
      <c r="F295" s="141"/>
      <c r="G295" s="141"/>
      <c r="H295" s="166"/>
      <c r="I295" s="354"/>
      <c r="J295" s="354"/>
    </row>
    <row r="296" spans="1:10" hidden="1" x14ac:dyDescent="0.25">
      <c r="A296" s="136"/>
      <c r="B296" s="137"/>
      <c r="C296" s="160">
        <v>52</v>
      </c>
      <c r="D296" s="161" t="s">
        <v>224</v>
      </c>
      <c r="E296" s="161"/>
      <c r="F296" s="162">
        <f>F268</f>
        <v>0</v>
      </c>
      <c r="G296" s="162"/>
      <c r="H296" s="162">
        <f>H268</f>
        <v>347388.68</v>
      </c>
      <c r="I296" s="367">
        <f>I268+I293</f>
        <v>0</v>
      </c>
      <c r="J296" s="367"/>
    </row>
    <row r="297" spans="1:10" hidden="1" x14ac:dyDescent="0.25">
      <c r="A297" s="79" t="s">
        <v>86</v>
      </c>
      <c r="B297" s="79"/>
      <c r="C297" s="80"/>
      <c r="D297" s="72" t="s">
        <v>87</v>
      </c>
      <c r="E297" s="72"/>
      <c r="F297" s="81">
        <f>F298+F307</f>
        <v>0</v>
      </c>
      <c r="G297" s="81"/>
      <c r="H297" s="81">
        <f>H298+H307</f>
        <v>139358.95000000001</v>
      </c>
      <c r="I297" s="351">
        <f>I298+I307</f>
        <v>0</v>
      </c>
      <c r="J297" s="351"/>
    </row>
    <row r="298" spans="1:10" hidden="1" x14ac:dyDescent="0.25">
      <c r="A298" s="82"/>
      <c r="B298" s="83">
        <v>31</v>
      </c>
      <c r="C298" s="84"/>
      <c r="D298" s="85" t="s">
        <v>88</v>
      </c>
      <c r="E298" s="85"/>
      <c r="F298" s="86">
        <f>F299+F302+F304</f>
        <v>0</v>
      </c>
      <c r="G298" s="86"/>
      <c r="H298" s="86">
        <f>H299+H302+H304</f>
        <v>132059.20000000001</v>
      </c>
      <c r="I298" s="276">
        <f>I299+I302+I304</f>
        <v>0</v>
      </c>
      <c r="J298" s="276"/>
    </row>
    <row r="299" spans="1:10" hidden="1" x14ac:dyDescent="0.25">
      <c r="A299" s="82"/>
      <c r="B299" s="87">
        <v>311</v>
      </c>
      <c r="C299" s="57"/>
      <c r="D299" s="82" t="s">
        <v>89</v>
      </c>
      <c r="E299" s="82"/>
      <c r="F299" s="52">
        <f>SUM(F300:F301)</f>
        <v>0</v>
      </c>
      <c r="G299" s="52"/>
      <c r="H299" s="52">
        <f>SUM(H300:H300)</f>
        <v>106178.26</v>
      </c>
      <c r="I299" s="280">
        <f>SUM(I300:I300)</f>
        <v>0</v>
      </c>
      <c r="J299" s="280"/>
    </row>
    <row r="300" spans="1:10" hidden="1" x14ac:dyDescent="0.25">
      <c r="A300" s="57"/>
      <c r="B300" s="88">
        <v>3111</v>
      </c>
      <c r="C300" s="57"/>
      <c r="D300" s="57" t="s">
        <v>90</v>
      </c>
      <c r="E300" s="57"/>
      <c r="F300" s="89"/>
      <c r="G300" s="89"/>
      <c r="H300" s="89">
        <v>106178.26</v>
      </c>
      <c r="I300" s="352">
        <v>0</v>
      </c>
      <c r="J300" s="352"/>
    </row>
    <row r="301" spans="1:10" hidden="1" x14ac:dyDescent="0.25">
      <c r="A301" s="57"/>
      <c r="B301" s="88" t="s">
        <v>95</v>
      </c>
      <c r="C301" s="57"/>
      <c r="D301" s="57" t="s">
        <v>211</v>
      </c>
      <c r="E301" s="57"/>
      <c r="F301" s="89"/>
      <c r="G301" s="89"/>
      <c r="H301" s="89">
        <v>0</v>
      </c>
      <c r="I301" s="352">
        <v>0</v>
      </c>
      <c r="J301" s="352"/>
    </row>
    <row r="302" spans="1:10" hidden="1" x14ac:dyDescent="0.25">
      <c r="A302" s="82"/>
      <c r="B302" s="87" t="s">
        <v>97</v>
      </c>
      <c r="C302" s="82"/>
      <c r="D302" s="82" t="s">
        <v>98</v>
      </c>
      <c r="E302" s="82"/>
      <c r="F302" s="52">
        <f>SUM(F303)</f>
        <v>0</v>
      </c>
      <c r="G302" s="52"/>
      <c r="H302" s="52">
        <f>SUM(H303)</f>
        <v>4844.38</v>
      </c>
      <c r="I302" s="280">
        <f>SUM(I303)</f>
        <v>0</v>
      </c>
      <c r="J302" s="280"/>
    </row>
    <row r="303" spans="1:10" hidden="1" x14ac:dyDescent="0.25">
      <c r="A303" s="57"/>
      <c r="B303" s="88" t="s">
        <v>99</v>
      </c>
      <c r="C303" s="57"/>
      <c r="D303" s="57" t="s">
        <v>98</v>
      </c>
      <c r="E303" s="57"/>
      <c r="F303" s="89"/>
      <c r="G303" s="89"/>
      <c r="H303" s="89">
        <v>4844.38</v>
      </c>
      <c r="I303" s="352">
        <v>0</v>
      </c>
      <c r="J303" s="352"/>
    </row>
    <row r="304" spans="1:10" hidden="1" x14ac:dyDescent="0.25">
      <c r="A304" s="82"/>
      <c r="B304" s="92">
        <v>313</v>
      </c>
      <c r="C304" s="82"/>
      <c r="D304" s="82" t="s">
        <v>100</v>
      </c>
      <c r="E304" s="82"/>
      <c r="F304" s="93">
        <f>SUM(F305:F306)</f>
        <v>0</v>
      </c>
      <c r="G304" s="93"/>
      <c r="H304" s="93">
        <f>SUM(H305:H306)</f>
        <v>21036.560000000001</v>
      </c>
      <c r="I304" s="353">
        <f>SUM(I305:I306)</f>
        <v>0</v>
      </c>
      <c r="J304" s="353"/>
    </row>
    <row r="305" spans="1:10" hidden="1" x14ac:dyDescent="0.25">
      <c r="A305" s="57"/>
      <c r="B305" s="94" t="s">
        <v>225</v>
      </c>
      <c r="C305" s="57"/>
      <c r="D305" s="57" t="s">
        <v>226</v>
      </c>
      <c r="E305" s="57"/>
      <c r="F305" s="141"/>
      <c r="G305" s="141"/>
      <c r="H305" s="141">
        <v>0</v>
      </c>
      <c r="I305" s="354">
        <v>0</v>
      </c>
      <c r="J305" s="354"/>
    </row>
    <row r="306" spans="1:10" hidden="1" x14ac:dyDescent="0.25">
      <c r="A306" s="57"/>
      <c r="B306" s="94">
        <v>3132</v>
      </c>
      <c r="C306" s="57"/>
      <c r="D306" s="57" t="s">
        <v>101</v>
      </c>
      <c r="E306" s="57"/>
      <c r="F306" s="141"/>
      <c r="G306" s="141"/>
      <c r="H306" s="141">
        <v>21036.560000000001</v>
      </c>
      <c r="I306" s="354">
        <v>0</v>
      </c>
      <c r="J306" s="354"/>
    </row>
    <row r="307" spans="1:10" hidden="1" x14ac:dyDescent="0.25">
      <c r="A307" s="82"/>
      <c r="B307" s="83">
        <v>32</v>
      </c>
      <c r="C307" s="84"/>
      <c r="D307" s="85" t="s">
        <v>102</v>
      </c>
      <c r="E307" s="85"/>
      <c r="F307" s="86">
        <f>F308+F311+F313</f>
        <v>0</v>
      </c>
      <c r="G307" s="86"/>
      <c r="H307" s="86">
        <f>H308+H311+H313</f>
        <v>7299.75</v>
      </c>
      <c r="I307" s="276">
        <f>I308+I311+I313</f>
        <v>0</v>
      </c>
      <c r="J307" s="276"/>
    </row>
    <row r="308" spans="1:10" hidden="1" x14ac:dyDescent="0.25">
      <c r="A308" s="82"/>
      <c r="B308" s="87">
        <v>321</v>
      </c>
      <c r="C308" s="82"/>
      <c r="D308" s="82" t="s">
        <v>103</v>
      </c>
      <c r="E308" s="82"/>
      <c r="F308" s="52">
        <f>SUM(F309:F310)</f>
        <v>0</v>
      </c>
      <c r="G308" s="52"/>
      <c r="H308" s="52">
        <f>SUM(H309:H310)</f>
        <v>7299.75</v>
      </c>
      <c r="I308" s="280">
        <f>SUM(I309:I310)</f>
        <v>0</v>
      </c>
      <c r="J308" s="280"/>
    </row>
    <row r="309" spans="1:10" hidden="1" x14ac:dyDescent="0.25">
      <c r="A309" s="57"/>
      <c r="B309" s="88" t="s">
        <v>104</v>
      </c>
      <c r="C309" s="57"/>
      <c r="D309" s="57" t="s">
        <v>105</v>
      </c>
      <c r="E309" s="57"/>
      <c r="F309" s="89">
        <v>0</v>
      </c>
      <c r="G309" s="89"/>
      <c r="H309" s="89">
        <v>663.61</v>
      </c>
      <c r="I309" s="352">
        <v>0</v>
      </c>
      <c r="J309" s="352"/>
    </row>
    <row r="310" spans="1:10" hidden="1" x14ac:dyDescent="0.25">
      <c r="A310" s="57"/>
      <c r="B310" s="88" t="s">
        <v>106</v>
      </c>
      <c r="C310" s="57"/>
      <c r="D310" s="98" t="s">
        <v>107</v>
      </c>
      <c r="E310" s="98"/>
      <c r="F310" s="89"/>
      <c r="G310" s="89"/>
      <c r="H310" s="89">
        <v>6636.14</v>
      </c>
      <c r="I310" s="352">
        <v>0</v>
      </c>
      <c r="J310" s="352"/>
    </row>
    <row r="311" spans="1:10" hidden="1" x14ac:dyDescent="0.25">
      <c r="A311" s="82"/>
      <c r="B311" s="87" t="s">
        <v>112</v>
      </c>
      <c r="C311" s="82"/>
      <c r="D311" s="97" t="s">
        <v>113</v>
      </c>
      <c r="E311" s="97"/>
      <c r="F311" s="52">
        <f>SUM(F312:F312)</f>
        <v>0</v>
      </c>
      <c r="G311" s="52"/>
      <c r="H311" s="52">
        <f>SUM(H312:H312)</f>
        <v>0</v>
      </c>
      <c r="I311" s="280">
        <f>SUM(I312:I312)</f>
        <v>0</v>
      </c>
      <c r="J311" s="280"/>
    </row>
    <row r="312" spans="1:10" hidden="1" x14ac:dyDescent="0.25">
      <c r="A312" s="82"/>
      <c r="B312" s="88" t="s">
        <v>118</v>
      </c>
      <c r="C312" s="82"/>
      <c r="D312" s="57" t="s">
        <v>119</v>
      </c>
      <c r="E312" s="57"/>
      <c r="F312" s="89"/>
      <c r="G312" s="89"/>
      <c r="H312" s="89">
        <v>0</v>
      </c>
      <c r="I312" s="352">
        <v>0</v>
      </c>
      <c r="J312" s="352"/>
    </row>
    <row r="313" spans="1:10" hidden="1" x14ac:dyDescent="0.25">
      <c r="A313" s="82"/>
      <c r="B313" s="87" t="s">
        <v>126</v>
      </c>
      <c r="C313" s="82"/>
      <c r="D313" s="97" t="s">
        <v>127</v>
      </c>
      <c r="E313" s="97"/>
      <c r="F313" s="52">
        <f>SUM(F314:F314)</f>
        <v>0</v>
      </c>
      <c r="G313" s="52"/>
      <c r="H313" s="52">
        <f>SUM(H314:H314)</f>
        <v>0</v>
      </c>
      <c r="I313" s="280">
        <f>SUM(I314:I314)</f>
        <v>0</v>
      </c>
      <c r="J313" s="280"/>
    </row>
    <row r="314" spans="1:10" hidden="1" x14ac:dyDescent="0.25">
      <c r="A314" s="82"/>
      <c r="B314" s="88" t="s">
        <v>132</v>
      </c>
      <c r="C314" s="82"/>
      <c r="D314" s="98" t="s">
        <v>133</v>
      </c>
      <c r="E314" s="98"/>
      <c r="F314" s="89">
        <v>0</v>
      </c>
      <c r="G314" s="89"/>
      <c r="H314" s="89">
        <v>0</v>
      </c>
      <c r="I314" s="352">
        <v>0</v>
      </c>
      <c r="J314" s="352"/>
    </row>
    <row r="315" spans="1:10" hidden="1" x14ac:dyDescent="0.25">
      <c r="A315" s="130">
        <v>4</v>
      </c>
      <c r="B315" s="106"/>
      <c r="C315" s="131"/>
      <c r="D315" s="132" t="s">
        <v>174</v>
      </c>
      <c r="E315" s="132"/>
      <c r="F315" s="108">
        <f t="shared" ref="F315:I317" si="34">F316</f>
        <v>0</v>
      </c>
      <c r="G315" s="108"/>
      <c r="H315" s="108">
        <f t="shared" si="34"/>
        <v>152631.23000000001</v>
      </c>
      <c r="I315" s="326">
        <f t="shared" si="34"/>
        <v>0</v>
      </c>
      <c r="J315" s="326"/>
    </row>
    <row r="316" spans="1:10" hidden="1" x14ac:dyDescent="0.25">
      <c r="A316" s="82"/>
      <c r="B316" s="83" t="s">
        <v>196</v>
      </c>
      <c r="C316" s="84"/>
      <c r="D316" s="111" t="s">
        <v>197</v>
      </c>
      <c r="E316" s="111"/>
      <c r="F316" s="109">
        <f t="shared" si="34"/>
        <v>0</v>
      </c>
      <c r="G316" s="109"/>
      <c r="H316" s="109">
        <f t="shared" si="34"/>
        <v>152631.23000000001</v>
      </c>
      <c r="I316" s="295">
        <f t="shared" si="34"/>
        <v>0</v>
      </c>
      <c r="J316" s="295"/>
    </row>
    <row r="317" spans="1:10" hidden="1" x14ac:dyDescent="0.25">
      <c r="A317" s="82"/>
      <c r="B317" s="87" t="s">
        <v>198</v>
      </c>
      <c r="C317" s="82"/>
      <c r="D317" s="82" t="s">
        <v>199</v>
      </c>
      <c r="E317" s="82"/>
      <c r="F317" s="52">
        <f t="shared" si="34"/>
        <v>0</v>
      </c>
      <c r="G317" s="52"/>
      <c r="H317" s="52">
        <f t="shared" si="34"/>
        <v>152631.23000000001</v>
      </c>
      <c r="I317" s="280">
        <f t="shared" si="34"/>
        <v>0</v>
      </c>
      <c r="J317" s="280"/>
    </row>
    <row r="318" spans="1:10" hidden="1" x14ac:dyDescent="0.25">
      <c r="A318" s="82"/>
      <c r="B318" s="88" t="s">
        <v>200</v>
      </c>
      <c r="C318" s="57"/>
      <c r="D318" s="57" t="s">
        <v>199</v>
      </c>
      <c r="E318" s="57"/>
      <c r="F318" s="89">
        <v>0</v>
      </c>
      <c r="G318" s="89"/>
      <c r="H318" s="89">
        <v>152631.23000000001</v>
      </c>
      <c r="I318" s="352">
        <v>0</v>
      </c>
      <c r="J318" s="352"/>
    </row>
    <row r="319" spans="1:10" hidden="1" x14ac:dyDescent="0.25">
      <c r="A319" s="136"/>
      <c r="B319" s="137"/>
      <c r="C319" s="160">
        <v>52</v>
      </c>
      <c r="D319" s="161" t="s">
        <v>227</v>
      </c>
      <c r="E319" s="161"/>
      <c r="F319" s="162">
        <f>F297+F315</f>
        <v>0</v>
      </c>
      <c r="G319" s="162"/>
      <c r="H319" s="162">
        <f>H297+H315</f>
        <v>291990.18000000005</v>
      </c>
      <c r="I319" s="367">
        <f>I297</f>
        <v>0</v>
      </c>
      <c r="J319" s="367"/>
    </row>
    <row r="320" spans="1:10" hidden="1" x14ac:dyDescent="0.25">
      <c r="A320" s="79" t="s">
        <v>86</v>
      </c>
      <c r="B320" s="79"/>
      <c r="C320" s="80"/>
      <c r="D320" s="72" t="s">
        <v>87</v>
      </c>
      <c r="E320" s="72"/>
      <c r="F320" s="168">
        <f>F321</f>
        <v>0</v>
      </c>
      <c r="G320" s="168"/>
      <c r="H320" s="168">
        <f>H321</f>
        <v>27208.170000000002</v>
      </c>
      <c r="I320" s="376">
        <f>I321</f>
        <v>0</v>
      </c>
      <c r="J320" s="376"/>
    </row>
    <row r="321" spans="1:10" hidden="1" x14ac:dyDescent="0.25">
      <c r="A321" s="82"/>
      <c r="B321" s="83">
        <v>32</v>
      </c>
      <c r="C321" s="84"/>
      <c r="D321" s="85" t="s">
        <v>102</v>
      </c>
      <c r="E321" s="85"/>
      <c r="F321" s="109">
        <f>F322</f>
        <v>0</v>
      </c>
      <c r="G321" s="109"/>
      <c r="H321" s="109">
        <f>H322+H325</f>
        <v>27208.170000000002</v>
      </c>
      <c r="I321" s="295">
        <f>I322+I325</f>
        <v>0</v>
      </c>
      <c r="J321" s="295"/>
    </row>
    <row r="322" spans="1:10" hidden="1" x14ac:dyDescent="0.25">
      <c r="A322" s="82"/>
      <c r="B322" s="87">
        <v>321</v>
      </c>
      <c r="C322" s="82"/>
      <c r="D322" s="82" t="s">
        <v>103</v>
      </c>
      <c r="E322" s="82"/>
      <c r="F322" s="52">
        <f>F324</f>
        <v>0</v>
      </c>
      <c r="G322" s="52"/>
      <c r="H322" s="52">
        <f>H324+H323</f>
        <v>663.61</v>
      </c>
      <c r="I322" s="280">
        <f>I324+I323</f>
        <v>0</v>
      </c>
      <c r="J322" s="280"/>
    </row>
    <row r="323" spans="1:10" hidden="1" x14ac:dyDescent="0.25">
      <c r="A323" s="57"/>
      <c r="B323" s="88" t="s">
        <v>104</v>
      </c>
      <c r="C323" s="57"/>
      <c r="D323" s="57" t="s">
        <v>105</v>
      </c>
      <c r="E323" s="57"/>
      <c r="F323" s="89">
        <v>0</v>
      </c>
      <c r="G323" s="89"/>
      <c r="H323" s="89">
        <v>663.61</v>
      </c>
      <c r="I323" s="352">
        <v>0</v>
      </c>
      <c r="J323" s="352"/>
    </row>
    <row r="324" spans="1:10" hidden="1" x14ac:dyDescent="0.25">
      <c r="A324" s="57"/>
      <c r="B324" s="88" t="s">
        <v>108</v>
      </c>
      <c r="C324" s="57"/>
      <c r="D324" s="57" t="s">
        <v>109</v>
      </c>
      <c r="E324" s="57"/>
      <c r="F324" s="89"/>
      <c r="G324" s="89"/>
      <c r="H324" s="89">
        <v>0</v>
      </c>
      <c r="I324" s="352">
        <v>0</v>
      </c>
      <c r="J324" s="352"/>
    </row>
    <row r="325" spans="1:10" s="64" customFormat="1" ht="14.25" hidden="1" x14ac:dyDescent="0.25">
      <c r="A325" s="82"/>
      <c r="B325" s="87" t="s">
        <v>112</v>
      </c>
      <c r="C325" s="82"/>
      <c r="D325" s="82" t="s">
        <v>113</v>
      </c>
      <c r="E325" s="82"/>
      <c r="F325" s="52">
        <f>F326</f>
        <v>0</v>
      </c>
      <c r="G325" s="52"/>
      <c r="H325" s="52">
        <f>H326</f>
        <v>26544.560000000001</v>
      </c>
      <c r="I325" s="280">
        <f>I326</f>
        <v>0</v>
      </c>
      <c r="J325" s="280"/>
    </row>
    <row r="326" spans="1:10" hidden="1" x14ac:dyDescent="0.25">
      <c r="A326" s="57"/>
      <c r="B326" s="88" t="s">
        <v>116</v>
      </c>
      <c r="C326" s="57"/>
      <c r="D326" s="57" t="s">
        <v>117</v>
      </c>
      <c r="E326" s="57"/>
      <c r="F326" s="89">
        <v>0</v>
      </c>
      <c r="G326" s="89"/>
      <c r="H326" s="89">
        <v>26544.560000000001</v>
      </c>
      <c r="I326" s="352">
        <v>0</v>
      </c>
      <c r="J326" s="352"/>
    </row>
    <row r="327" spans="1:10" hidden="1" x14ac:dyDescent="0.25">
      <c r="A327" s="178">
        <v>4</v>
      </c>
      <c r="B327" s="179"/>
      <c r="C327" s="180"/>
      <c r="D327" s="132" t="s">
        <v>174</v>
      </c>
      <c r="E327" s="132"/>
      <c r="F327" s="108">
        <f t="shared" ref="F327:I328" si="35">F328</f>
        <v>0</v>
      </c>
      <c r="G327" s="108"/>
      <c r="H327" s="108">
        <f t="shared" si="35"/>
        <v>92905.96</v>
      </c>
      <c r="I327" s="326">
        <f t="shared" si="35"/>
        <v>0</v>
      </c>
      <c r="J327" s="326"/>
    </row>
    <row r="328" spans="1:10" hidden="1" x14ac:dyDescent="0.25">
      <c r="A328" s="181"/>
      <c r="B328" s="83">
        <v>42</v>
      </c>
      <c r="C328" s="84"/>
      <c r="D328" s="85" t="s">
        <v>183</v>
      </c>
      <c r="E328" s="85"/>
      <c r="F328" s="109">
        <f t="shared" si="35"/>
        <v>0</v>
      </c>
      <c r="G328" s="109"/>
      <c r="H328" s="109">
        <f t="shared" si="35"/>
        <v>92905.96</v>
      </c>
      <c r="I328" s="295">
        <f t="shared" si="35"/>
        <v>0</v>
      </c>
      <c r="J328" s="295"/>
    </row>
    <row r="329" spans="1:10" hidden="1" x14ac:dyDescent="0.25">
      <c r="A329" s="182"/>
      <c r="B329" s="87">
        <v>422</v>
      </c>
      <c r="C329" s="82"/>
      <c r="D329" s="82" t="s">
        <v>184</v>
      </c>
      <c r="E329" s="82"/>
      <c r="F329" s="183">
        <f>SUM(F330:F332)</f>
        <v>0</v>
      </c>
      <c r="G329" s="183"/>
      <c r="H329" s="183">
        <f>SUM(H330:H333)</f>
        <v>92905.96</v>
      </c>
      <c r="I329" s="377">
        <f>SUM(I330:I333)</f>
        <v>0</v>
      </c>
      <c r="J329" s="377"/>
    </row>
    <row r="330" spans="1:10" hidden="1" x14ac:dyDescent="0.25">
      <c r="A330" s="184"/>
      <c r="B330" s="88" t="s">
        <v>185</v>
      </c>
      <c r="C330" s="57"/>
      <c r="D330" s="57" t="s">
        <v>186</v>
      </c>
      <c r="E330" s="57"/>
      <c r="F330" s="185"/>
      <c r="G330" s="185"/>
      <c r="H330" s="185">
        <v>0</v>
      </c>
      <c r="I330" s="378">
        <v>0</v>
      </c>
      <c r="J330" s="378"/>
    </row>
    <row r="331" spans="1:10" hidden="1" x14ac:dyDescent="0.25">
      <c r="A331" s="184"/>
      <c r="B331" s="88" t="s">
        <v>228</v>
      </c>
      <c r="C331" s="57"/>
      <c r="D331" s="57" t="s">
        <v>189</v>
      </c>
      <c r="E331" s="57"/>
      <c r="F331" s="185"/>
      <c r="G331" s="185"/>
      <c r="H331" s="185">
        <v>0</v>
      </c>
      <c r="I331" s="378">
        <v>0</v>
      </c>
      <c r="J331" s="378"/>
    </row>
    <row r="332" spans="1:10" hidden="1" x14ac:dyDescent="0.25">
      <c r="A332" s="182"/>
      <c r="B332" s="88" t="s">
        <v>229</v>
      </c>
      <c r="C332" s="57"/>
      <c r="D332" s="57" t="s">
        <v>190</v>
      </c>
      <c r="E332" s="57"/>
      <c r="F332" s="185"/>
      <c r="G332" s="185"/>
      <c r="H332" s="185">
        <v>92905.96</v>
      </c>
      <c r="I332" s="378">
        <v>0</v>
      </c>
      <c r="J332" s="378"/>
    </row>
    <row r="333" spans="1:10" hidden="1" x14ac:dyDescent="0.25">
      <c r="A333" s="182"/>
      <c r="B333" s="88" t="s">
        <v>230</v>
      </c>
      <c r="C333" s="57"/>
      <c r="D333" s="57" t="s">
        <v>191</v>
      </c>
      <c r="E333" s="57"/>
      <c r="F333" s="185"/>
      <c r="G333" s="185"/>
      <c r="H333" s="185">
        <v>0</v>
      </c>
      <c r="I333" s="378">
        <v>0</v>
      </c>
      <c r="J333" s="378"/>
    </row>
    <row r="334" spans="1:10" hidden="1" x14ac:dyDescent="0.25">
      <c r="A334" s="186"/>
      <c r="B334" s="187"/>
      <c r="C334" s="160" t="s">
        <v>71</v>
      </c>
      <c r="D334" s="161" t="s">
        <v>72</v>
      </c>
      <c r="E334" s="161"/>
      <c r="F334" s="188">
        <f>F327+F320</f>
        <v>0</v>
      </c>
      <c r="G334" s="188"/>
      <c r="H334" s="188">
        <f>H327+H320</f>
        <v>120114.13</v>
      </c>
      <c r="I334" s="286">
        <f>I327+I320</f>
        <v>0</v>
      </c>
      <c r="J334" s="286"/>
    </row>
    <row r="335" spans="1:10" hidden="1" x14ac:dyDescent="0.25">
      <c r="A335" s="79" t="s">
        <v>86</v>
      </c>
      <c r="B335" s="79"/>
      <c r="C335" s="80"/>
      <c r="D335" s="72" t="s">
        <v>87</v>
      </c>
      <c r="E335" s="72"/>
      <c r="F335" s="379">
        <f>SUM(F339,F336,F341)</f>
        <v>0</v>
      </c>
      <c r="G335" s="379"/>
      <c r="H335" s="379">
        <f>SUM(H339,H336)</f>
        <v>9954.2100000000009</v>
      </c>
      <c r="I335" s="380">
        <f>SUM(I339,I336)</f>
        <v>0</v>
      </c>
      <c r="J335" s="380"/>
    </row>
    <row r="336" spans="1:10" s="64" customFormat="1" ht="14.25" hidden="1" x14ac:dyDescent="0.25">
      <c r="A336" s="191"/>
      <c r="B336" s="169" t="s">
        <v>112</v>
      </c>
      <c r="C336" s="170"/>
      <c r="D336" s="171" t="s">
        <v>113</v>
      </c>
      <c r="E336" s="171"/>
      <c r="F336" s="381">
        <f>F337</f>
        <v>0</v>
      </c>
      <c r="G336" s="381"/>
      <c r="H336" s="381">
        <f>H337</f>
        <v>6636.14</v>
      </c>
      <c r="I336" s="382">
        <f>SUM(I337:I338)</f>
        <v>0</v>
      </c>
      <c r="J336" s="382"/>
    </row>
    <row r="337" spans="1:10" hidden="1" x14ac:dyDescent="0.25">
      <c r="A337" s="193"/>
      <c r="B337" s="172" t="s">
        <v>116</v>
      </c>
      <c r="C337" s="173"/>
      <c r="D337" s="174" t="s">
        <v>117</v>
      </c>
      <c r="E337" s="174"/>
      <c r="F337" s="383">
        <v>0</v>
      </c>
      <c r="G337" s="383"/>
      <c r="H337" s="383">
        <v>6636.14</v>
      </c>
      <c r="I337" s="384">
        <v>0</v>
      </c>
      <c r="J337" s="384"/>
    </row>
    <row r="338" spans="1:10" hidden="1" x14ac:dyDescent="0.25">
      <c r="A338" s="193"/>
      <c r="B338" s="172" t="s">
        <v>120</v>
      </c>
      <c r="C338" s="57"/>
      <c r="D338" s="385" t="s">
        <v>121</v>
      </c>
      <c r="E338" s="385"/>
      <c r="F338" s="383"/>
      <c r="G338" s="383"/>
      <c r="H338" s="383"/>
      <c r="I338" s="384">
        <v>0</v>
      </c>
      <c r="J338" s="384"/>
    </row>
    <row r="339" spans="1:10" hidden="1" x14ac:dyDescent="0.25">
      <c r="A339" s="186"/>
      <c r="B339" s="386" t="s">
        <v>126</v>
      </c>
      <c r="C339" s="387"/>
      <c r="D339" s="388" t="s">
        <v>127</v>
      </c>
      <c r="E339" s="388"/>
      <c r="F339" s="381">
        <f>SUM(F340)</f>
        <v>0</v>
      </c>
      <c r="G339" s="381"/>
      <c r="H339" s="381">
        <f>SUM(H340)</f>
        <v>3318.07</v>
      </c>
      <c r="I339" s="382">
        <f>SUM(I340)</f>
        <v>0</v>
      </c>
      <c r="J339" s="382"/>
    </row>
    <row r="340" spans="1:10" hidden="1" x14ac:dyDescent="0.25">
      <c r="A340" s="186"/>
      <c r="B340" s="389" t="s">
        <v>130</v>
      </c>
      <c r="C340" s="390"/>
      <c r="D340" s="391" t="s">
        <v>131</v>
      </c>
      <c r="E340" s="391"/>
      <c r="F340" s="383"/>
      <c r="G340" s="383"/>
      <c r="H340" s="383">
        <v>3318.07</v>
      </c>
      <c r="I340" s="384">
        <v>0</v>
      </c>
      <c r="J340" s="384"/>
    </row>
    <row r="341" spans="1:10" s="64" customFormat="1" hidden="1" x14ac:dyDescent="0.25">
      <c r="A341" s="186"/>
      <c r="B341" s="386" t="s">
        <v>219</v>
      </c>
      <c r="C341" s="390"/>
      <c r="D341" s="388" t="s">
        <v>220</v>
      </c>
      <c r="E341" s="388"/>
      <c r="F341" s="381">
        <f>F342</f>
        <v>0</v>
      </c>
      <c r="G341" s="381"/>
      <c r="H341" s="381">
        <f>H342</f>
        <v>0</v>
      </c>
      <c r="I341" s="382">
        <f>I342</f>
        <v>0</v>
      </c>
      <c r="J341" s="382"/>
    </row>
    <row r="342" spans="1:10" hidden="1" x14ac:dyDescent="0.25">
      <c r="A342" s="186"/>
      <c r="B342" s="389" t="s">
        <v>231</v>
      </c>
      <c r="C342" s="390"/>
      <c r="D342" s="391" t="s">
        <v>147</v>
      </c>
      <c r="E342" s="391"/>
      <c r="F342" s="383"/>
      <c r="G342" s="383"/>
      <c r="H342" s="383">
        <v>0</v>
      </c>
      <c r="I342" s="384">
        <v>0</v>
      </c>
      <c r="J342" s="384"/>
    </row>
    <row r="343" spans="1:10" hidden="1" x14ac:dyDescent="0.25">
      <c r="A343" s="178">
        <v>4</v>
      </c>
      <c r="B343" s="392"/>
      <c r="C343" s="392"/>
      <c r="D343" s="132" t="s">
        <v>174</v>
      </c>
      <c r="E343" s="132"/>
      <c r="F343" s="393">
        <f>F344</f>
        <v>0</v>
      </c>
      <c r="G343" s="393"/>
      <c r="H343" s="393">
        <f>H344</f>
        <v>796.34</v>
      </c>
      <c r="I343" s="394">
        <f>I344</f>
        <v>0</v>
      </c>
      <c r="J343" s="394"/>
    </row>
    <row r="344" spans="1:10" hidden="1" x14ac:dyDescent="0.25">
      <c r="A344" s="82"/>
      <c r="B344" s="83">
        <v>42</v>
      </c>
      <c r="C344" s="84"/>
      <c r="D344" s="85" t="s">
        <v>183</v>
      </c>
      <c r="E344" s="85"/>
      <c r="F344" s="86">
        <f t="shared" ref="F344:I347" si="36">SUM(F345)</f>
        <v>0</v>
      </c>
      <c r="G344" s="86"/>
      <c r="H344" s="86">
        <f t="shared" si="36"/>
        <v>796.34</v>
      </c>
      <c r="I344" s="276">
        <f>SUM(I345,I347)</f>
        <v>0</v>
      </c>
      <c r="J344" s="276"/>
    </row>
    <row r="345" spans="1:10" hidden="1" x14ac:dyDescent="0.25">
      <c r="A345" s="200"/>
      <c r="B345" s="87">
        <v>422</v>
      </c>
      <c r="C345" s="82"/>
      <c r="D345" s="82" t="s">
        <v>184</v>
      </c>
      <c r="E345" s="82"/>
      <c r="F345" s="183">
        <f t="shared" si="36"/>
        <v>0</v>
      </c>
      <c r="G345" s="183"/>
      <c r="H345" s="183">
        <f t="shared" si="36"/>
        <v>796.34</v>
      </c>
      <c r="I345" s="377">
        <f t="shared" si="36"/>
        <v>0</v>
      </c>
      <c r="J345" s="377"/>
    </row>
    <row r="346" spans="1:10" hidden="1" x14ac:dyDescent="0.25">
      <c r="A346" s="201"/>
      <c r="B346" s="88" t="s">
        <v>229</v>
      </c>
      <c r="C346" s="57"/>
      <c r="D346" s="57" t="s">
        <v>190</v>
      </c>
      <c r="E346" s="57"/>
      <c r="F346" s="185"/>
      <c r="G346" s="185"/>
      <c r="H346" s="185">
        <v>796.34</v>
      </c>
      <c r="I346" s="378">
        <v>0</v>
      </c>
      <c r="J346" s="378"/>
    </row>
    <row r="347" spans="1:10" hidden="1" x14ac:dyDescent="0.25">
      <c r="A347" s="206"/>
      <c r="B347" s="203" t="s">
        <v>232</v>
      </c>
      <c r="C347" s="204"/>
      <c r="D347" s="204" t="s">
        <v>194</v>
      </c>
      <c r="E347" s="204"/>
      <c r="F347" s="205"/>
      <c r="G347" s="205"/>
      <c r="H347" s="183">
        <f t="shared" si="36"/>
        <v>0</v>
      </c>
      <c r="I347" s="377">
        <f t="shared" si="36"/>
        <v>0</v>
      </c>
      <c r="J347" s="377"/>
    </row>
    <row r="348" spans="1:10" hidden="1" x14ac:dyDescent="0.25">
      <c r="A348" s="206"/>
      <c r="B348" s="207" t="s">
        <v>233</v>
      </c>
      <c r="C348" s="208"/>
      <c r="D348" s="208" t="s">
        <v>195</v>
      </c>
      <c r="E348" s="208"/>
      <c r="F348" s="209"/>
      <c r="G348" s="209"/>
      <c r="H348" s="209"/>
      <c r="I348" s="395">
        <v>0</v>
      </c>
      <c r="J348" s="395"/>
    </row>
    <row r="349" spans="1:10" ht="30.75" hidden="1" thickBot="1" x14ac:dyDescent="0.3">
      <c r="A349" s="211"/>
      <c r="B349" s="212"/>
      <c r="C349" s="213" t="s">
        <v>234</v>
      </c>
      <c r="D349" s="214" t="s">
        <v>235</v>
      </c>
      <c r="E349" s="214"/>
      <c r="F349" s="215">
        <f>SUM(F344,F335)</f>
        <v>0</v>
      </c>
      <c r="G349" s="215"/>
      <c r="H349" s="396">
        <f>H335+H343</f>
        <v>10750.550000000001</v>
      </c>
      <c r="I349" s="397">
        <f>SUM(I344,I335)</f>
        <v>0</v>
      </c>
      <c r="J349" s="397"/>
    </row>
    <row r="350" spans="1:10" ht="16.5" hidden="1" thickBot="1" x14ac:dyDescent="0.3">
      <c r="A350" s="815" t="s">
        <v>236</v>
      </c>
      <c r="B350" s="816"/>
      <c r="C350" s="816"/>
      <c r="D350" s="817"/>
      <c r="E350" s="216"/>
      <c r="F350" s="217">
        <f>F104+F168+F192+F249+F268+F297+F315+F320+F327+F335+F343</f>
        <v>0</v>
      </c>
      <c r="G350" s="217"/>
      <c r="H350" s="217">
        <f>H104+H168+H192+H249+H268+H297+H315+H320+H327+H335+H343</f>
        <v>65101801.729999997</v>
      </c>
      <c r="I350" s="398">
        <f>I104+I168+I192+I249+I268+I297+I320+I327+I335+I343+I293+I315</f>
        <v>0</v>
      </c>
      <c r="J350" s="398"/>
    </row>
    <row r="351" spans="1:10" hidden="1" x14ac:dyDescent="0.25">
      <c r="D351" s="117"/>
      <c r="E351" s="117"/>
      <c r="H351" s="399" t="s">
        <v>237</v>
      </c>
      <c r="I351" s="400"/>
      <c r="J351" s="400"/>
    </row>
    <row r="352" spans="1:10" hidden="1" x14ac:dyDescent="0.25">
      <c r="H352" s="220"/>
      <c r="I352" s="401">
        <f>I350+I351</f>
        <v>0</v>
      </c>
      <c r="J352" s="401"/>
    </row>
    <row r="354" spans="4:10" hidden="1" x14ac:dyDescent="0.25">
      <c r="D354" s="222"/>
      <c r="E354" s="222"/>
      <c r="F354" s="223"/>
      <c r="G354" s="223"/>
      <c r="I354" s="402">
        <f>I97-I352</f>
        <v>0</v>
      </c>
      <c r="J354" s="402"/>
    </row>
    <row r="355" spans="4:10" x14ac:dyDescent="0.25">
      <c r="D355" s="222"/>
      <c r="E355" s="222"/>
      <c r="F355" s="223"/>
      <c r="G355" s="223"/>
      <c r="H355" s="159"/>
    </row>
    <row r="356" spans="4:10" x14ac:dyDescent="0.25">
      <c r="D356" s="117"/>
      <c r="E356" s="117"/>
      <c r="F356" s="223"/>
      <c r="G356" s="223"/>
    </row>
  </sheetData>
  <mergeCells count="9">
    <mergeCell ref="A101:I101"/>
    <mergeCell ref="A103:D103"/>
    <mergeCell ref="A350:D350"/>
    <mergeCell ref="A1:I1"/>
    <mergeCell ref="A2:I2"/>
    <mergeCell ref="A3:I3"/>
    <mergeCell ref="A5:I5"/>
    <mergeCell ref="A7:D7"/>
    <mergeCell ref="A95:D95"/>
  </mergeCells>
  <phoneticPr fontId="13" type="noConversion"/>
  <pageMargins left="0.7" right="0.7" top="0.75" bottom="0.75" header="0.3" footer="0.3"/>
  <pageSetup paperSize="9" scale="4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549"/>
  <sheetViews>
    <sheetView zoomScale="112" zoomScaleNormal="112" workbookViewId="0">
      <selection activeCell="E4" sqref="E1:F1048576"/>
    </sheetView>
  </sheetViews>
  <sheetFormatPr defaultRowHeight="15" x14ac:dyDescent="0.25"/>
  <cols>
    <col min="1" max="1" width="7" style="58" bestFit="1" customWidth="1"/>
    <col min="2" max="2" width="8.42578125" style="58" customWidth="1"/>
    <col min="3" max="3" width="5.28515625" style="58" bestFit="1" customWidth="1"/>
    <col min="4" max="4" width="65.5703125" style="58" bestFit="1" customWidth="1"/>
    <col min="5" max="5" width="22.140625" style="58" customWidth="1"/>
    <col min="6" max="6" width="16.7109375" style="219" customWidth="1"/>
    <col min="7" max="7" width="16.7109375" style="219" bestFit="1" customWidth="1"/>
    <col min="8" max="8" width="16.7109375" style="58" bestFit="1" customWidth="1"/>
    <col min="9" max="9" width="11.28515625" style="58" bestFit="1" customWidth="1"/>
    <col min="10" max="10" width="10.140625" style="58" bestFit="1" customWidth="1"/>
    <col min="11" max="14" width="15.140625" style="58" customWidth="1"/>
    <col min="15" max="15" width="16.7109375" style="58" hidden="1" customWidth="1"/>
    <col min="16" max="16" width="16.42578125" style="58" hidden="1" customWidth="1"/>
    <col min="17" max="17" width="12.5703125" style="58" hidden="1" customWidth="1"/>
    <col min="18" max="19" width="10.7109375" style="58" bestFit="1" customWidth="1"/>
    <col min="20" max="20" width="10.28515625" style="58" bestFit="1" customWidth="1"/>
    <col min="21" max="21" width="11.85546875" style="58" bestFit="1" customWidth="1"/>
    <col min="22" max="22" width="15.42578125" style="58" customWidth="1"/>
    <col min="23" max="255" width="9.140625" style="58"/>
    <col min="256" max="256" width="7" style="58" bestFit="1" customWidth="1"/>
    <col min="257" max="257" width="8.42578125" style="58" customWidth="1"/>
    <col min="258" max="258" width="5.28515625" style="58" bestFit="1" customWidth="1"/>
    <col min="259" max="259" width="58.140625" style="58" customWidth="1"/>
    <col min="260" max="260" width="0" style="58" hidden="1" customWidth="1"/>
    <col min="261" max="261" width="18.42578125" style="58" bestFit="1" customWidth="1"/>
    <col min="262" max="262" width="0" style="58" hidden="1" customWidth="1"/>
    <col min="263" max="263" width="18.42578125" style="58" customWidth="1"/>
    <col min="264" max="264" width="0" style="58" hidden="1" customWidth="1"/>
    <col min="265" max="265" width="9.140625" style="58"/>
    <col min="266" max="266" width="0" style="58" hidden="1" customWidth="1"/>
    <col min="267" max="270" width="15.140625" style="58" customWidth="1"/>
    <col min="271" max="273" width="0" style="58" hidden="1" customWidth="1"/>
    <col min="274" max="275" width="10.7109375" style="58" bestFit="1" customWidth="1"/>
    <col min="276" max="276" width="10.28515625" style="58" bestFit="1" customWidth="1"/>
    <col min="277" max="277" width="11.85546875" style="58" bestFit="1" customWidth="1"/>
    <col min="278" max="278" width="15.42578125" style="58" customWidth="1"/>
    <col min="279" max="511" width="9.140625" style="58"/>
    <col min="512" max="512" width="7" style="58" bestFit="1" customWidth="1"/>
    <col min="513" max="513" width="8.42578125" style="58" customWidth="1"/>
    <col min="514" max="514" width="5.28515625" style="58" bestFit="1" customWidth="1"/>
    <col min="515" max="515" width="58.140625" style="58" customWidth="1"/>
    <col min="516" max="516" width="0" style="58" hidden="1" customWidth="1"/>
    <col min="517" max="517" width="18.42578125" style="58" bestFit="1" customWidth="1"/>
    <col min="518" max="518" width="0" style="58" hidden="1" customWidth="1"/>
    <col min="519" max="519" width="18.42578125" style="58" customWidth="1"/>
    <col min="520" max="520" width="0" style="58" hidden="1" customWidth="1"/>
    <col min="521" max="521" width="9.140625" style="58"/>
    <col min="522" max="522" width="0" style="58" hidden="1" customWidth="1"/>
    <col min="523" max="526" width="15.140625" style="58" customWidth="1"/>
    <col min="527" max="529" width="0" style="58" hidden="1" customWidth="1"/>
    <col min="530" max="531" width="10.7109375" style="58" bestFit="1" customWidth="1"/>
    <col min="532" max="532" width="10.28515625" style="58" bestFit="1" customWidth="1"/>
    <col min="533" max="533" width="11.85546875" style="58" bestFit="1" customWidth="1"/>
    <col min="534" max="534" width="15.42578125" style="58" customWidth="1"/>
    <col min="535" max="767" width="9.140625" style="58"/>
    <col min="768" max="768" width="7" style="58" bestFit="1" customWidth="1"/>
    <col min="769" max="769" width="8.42578125" style="58" customWidth="1"/>
    <col min="770" max="770" width="5.28515625" style="58" bestFit="1" customWidth="1"/>
    <col min="771" max="771" width="58.140625" style="58" customWidth="1"/>
    <col min="772" max="772" width="0" style="58" hidden="1" customWidth="1"/>
    <col min="773" max="773" width="18.42578125" style="58" bestFit="1" customWidth="1"/>
    <col min="774" max="774" width="0" style="58" hidden="1" customWidth="1"/>
    <col min="775" max="775" width="18.42578125" style="58" customWidth="1"/>
    <col min="776" max="776" width="0" style="58" hidden="1" customWidth="1"/>
    <col min="777" max="777" width="9.140625" style="58"/>
    <col min="778" max="778" width="0" style="58" hidden="1" customWidth="1"/>
    <col min="779" max="782" width="15.140625" style="58" customWidth="1"/>
    <col min="783" max="785" width="0" style="58" hidden="1" customWidth="1"/>
    <col min="786" max="787" width="10.7109375" style="58" bestFit="1" customWidth="1"/>
    <col min="788" max="788" width="10.28515625" style="58" bestFit="1" customWidth="1"/>
    <col min="789" max="789" width="11.85546875" style="58" bestFit="1" customWidth="1"/>
    <col min="790" max="790" width="15.42578125" style="58" customWidth="1"/>
    <col min="791" max="1023" width="9.140625" style="58"/>
    <col min="1024" max="1024" width="7" style="58" bestFit="1" customWidth="1"/>
    <col min="1025" max="1025" width="8.42578125" style="58" customWidth="1"/>
    <col min="1026" max="1026" width="5.28515625" style="58" bestFit="1" customWidth="1"/>
    <col min="1027" max="1027" width="58.140625" style="58" customWidth="1"/>
    <col min="1028" max="1028" width="0" style="58" hidden="1" customWidth="1"/>
    <col min="1029" max="1029" width="18.42578125" style="58" bestFit="1" customWidth="1"/>
    <col min="1030" max="1030" width="0" style="58" hidden="1" customWidth="1"/>
    <col min="1031" max="1031" width="18.42578125" style="58" customWidth="1"/>
    <col min="1032" max="1032" width="0" style="58" hidden="1" customWidth="1"/>
    <col min="1033" max="1033" width="9.140625" style="58"/>
    <col min="1034" max="1034" width="0" style="58" hidden="1" customWidth="1"/>
    <col min="1035" max="1038" width="15.140625" style="58" customWidth="1"/>
    <col min="1039" max="1041" width="0" style="58" hidden="1" customWidth="1"/>
    <col min="1042" max="1043" width="10.7109375" style="58" bestFit="1" customWidth="1"/>
    <col min="1044" max="1044" width="10.28515625" style="58" bestFit="1" customWidth="1"/>
    <col min="1045" max="1045" width="11.85546875" style="58" bestFit="1" customWidth="1"/>
    <col min="1046" max="1046" width="15.42578125" style="58" customWidth="1"/>
    <col min="1047" max="1279" width="9.140625" style="58"/>
    <col min="1280" max="1280" width="7" style="58" bestFit="1" customWidth="1"/>
    <col min="1281" max="1281" width="8.42578125" style="58" customWidth="1"/>
    <col min="1282" max="1282" width="5.28515625" style="58" bestFit="1" customWidth="1"/>
    <col min="1283" max="1283" width="58.140625" style="58" customWidth="1"/>
    <col min="1284" max="1284" width="0" style="58" hidden="1" customWidth="1"/>
    <col min="1285" max="1285" width="18.42578125" style="58" bestFit="1" customWidth="1"/>
    <col min="1286" max="1286" width="0" style="58" hidden="1" customWidth="1"/>
    <col min="1287" max="1287" width="18.42578125" style="58" customWidth="1"/>
    <col min="1288" max="1288" width="0" style="58" hidden="1" customWidth="1"/>
    <col min="1289" max="1289" width="9.140625" style="58"/>
    <col min="1290" max="1290" width="0" style="58" hidden="1" customWidth="1"/>
    <col min="1291" max="1294" width="15.140625" style="58" customWidth="1"/>
    <col min="1295" max="1297" width="0" style="58" hidden="1" customWidth="1"/>
    <col min="1298" max="1299" width="10.7109375" style="58" bestFit="1" customWidth="1"/>
    <col min="1300" max="1300" width="10.28515625" style="58" bestFit="1" customWidth="1"/>
    <col min="1301" max="1301" width="11.85546875" style="58" bestFit="1" customWidth="1"/>
    <col min="1302" max="1302" width="15.42578125" style="58" customWidth="1"/>
    <col min="1303" max="1535" width="9.140625" style="58"/>
    <col min="1536" max="1536" width="7" style="58" bestFit="1" customWidth="1"/>
    <col min="1537" max="1537" width="8.42578125" style="58" customWidth="1"/>
    <col min="1538" max="1538" width="5.28515625" style="58" bestFit="1" customWidth="1"/>
    <col min="1539" max="1539" width="58.140625" style="58" customWidth="1"/>
    <col min="1540" max="1540" width="0" style="58" hidden="1" customWidth="1"/>
    <col min="1541" max="1541" width="18.42578125" style="58" bestFit="1" customWidth="1"/>
    <col min="1542" max="1542" width="0" style="58" hidden="1" customWidth="1"/>
    <col min="1543" max="1543" width="18.42578125" style="58" customWidth="1"/>
    <col min="1544" max="1544" width="0" style="58" hidden="1" customWidth="1"/>
    <col min="1545" max="1545" width="9.140625" style="58"/>
    <col min="1546" max="1546" width="0" style="58" hidden="1" customWidth="1"/>
    <col min="1547" max="1550" width="15.140625" style="58" customWidth="1"/>
    <col min="1551" max="1553" width="0" style="58" hidden="1" customWidth="1"/>
    <col min="1554" max="1555" width="10.7109375" style="58" bestFit="1" customWidth="1"/>
    <col min="1556" max="1556" width="10.28515625" style="58" bestFit="1" customWidth="1"/>
    <col min="1557" max="1557" width="11.85546875" style="58" bestFit="1" customWidth="1"/>
    <col min="1558" max="1558" width="15.42578125" style="58" customWidth="1"/>
    <col min="1559" max="1791" width="9.140625" style="58"/>
    <col min="1792" max="1792" width="7" style="58" bestFit="1" customWidth="1"/>
    <col min="1793" max="1793" width="8.42578125" style="58" customWidth="1"/>
    <col min="1794" max="1794" width="5.28515625" style="58" bestFit="1" customWidth="1"/>
    <col min="1795" max="1795" width="58.140625" style="58" customWidth="1"/>
    <col min="1796" max="1796" width="0" style="58" hidden="1" customWidth="1"/>
    <col min="1797" max="1797" width="18.42578125" style="58" bestFit="1" customWidth="1"/>
    <col min="1798" max="1798" width="0" style="58" hidden="1" customWidth="1"/>
    <col min="1799" max="1799" width="18.42578125" style="58" customWidth="1"/>
    <col min="1800" max="1800" width="0" style="58" hidden="1" customWidth="1"/>
    <col min="1801" max="1801" width="9.140625" style="58"/>
    <col min="1802" max="1802" width="0" style="58" hidden="1" customWidth="1"/>
    <col min="1803" max="1806" width="15.140625" style="58" customWidth="1"/>
    <col min="1807" max="1809" width="0" style="58" hidden="1" customWidth="1"/>
    <col min="1810" max="1811" width="10.7109375" style="58" bestFit="1" customWidth="1"/>
    <col min="1812" max="1812" width="10.28515625" style="58" bestFit="1" customWidth="1"/>
    <col min="1813" max="1813" width="11.85546875" style="58" bestFit="1" customWidth="1"/>
    <col min="1814" max="1814" width="15.42578125" style="58" customWidth="1"/>
    <col min="1815" max="2047" width="9.140625" style="58"/>
    <col min="2048" max="2048" width="7" style="58" bestFit="1" customWidth="1"/>
    <col min="2049" max="2049" width="8.42578125" style="58" customWidth="1"/>
    <col min="2050" max="2050" width="5.28515625" style="58" bestFit="1" customWidth="1"/>
    <col min="2051" max="2051" width="58.140625" style="58" customWidth="1"/>
    <col min="2052" max="2052" width="0" style="58" hidden="1" customWidth="1"/>
    <col min="2053" max="2053" width="18.42578125" style="58" bestFit="1" customWidth="1"/>
    <col min="2054" max="2054" width="0" style="58" hidden="1" customWidth="1"/>
    <col min="2055" max="2055" width="18.42578125" style="58" customWidth="1"/>
    <col min="2056" max="2056" width="0" style="58" hidden="1" customWidth="1"/>
    <col min="2057" max="2057" width="9.140625" style="58"/>
    <col min="2058" max="2058" width="0" style="58" hidden="1" customWidth="1"/>
    <col min="2059" max="2062" width="15.140625" style="58" customWidth="1"/>
    <col min="2063" max="2065" width="0" style="58" hidden="1" customWidth="1"/>
    <col min="2066" max="2067" width="10.7109375" style="58" bestFit="1" customWidth="1"/>
    <col min="2068" max="2068" width="10.28515625" style="58" bestFit="1" customWidth="1"/>
    <col min="2069" max="2069" width="11.85546875" style="58" bestFit="1" customWidth="1"/>
    <col min="2070" max="2070" width="15.42578125" style="58" customWidth="1"/>
    <col min="2071" max="2303" width="9.140625" style="58"/>
    <col min="2304" max="2304" width="7" style="58" bestFit="1" customWidth="1"/>
    <col min="2305" max="2305" width="8.42578125" style="58" customWidth="1"/>
    <col min="2306" max="2306" width="5.28515625" style="58" bestFit="1" customWidth="1"/>
    <col min="2307" max="2307" width="58.140625" style="58" customWidth="1"/>
    <col min="2308" max="2308" width="0" style="58" hidden="1" customWidth="1"/>
    <col min="2309" max="2309" width="18.42578125" style="58" bestFit="1" customWidth="1"/>
    <col min="2310" max="2310" width="0" style="58" hidden="1" customWidth="1"/>
    <col min="2311" max="2311" width="18.42578125" style="58" customWidth="1"/>
    <col min="2312" max="2312" width="0" style="58" hidden="1" customWidth="1"/>
    <col min="2313" max="2313" width="9.140625" style="58"/>
    <col min="2314" max="2314" width="0" style="58" hidden="1" customWidth="1"/>
    <col min="2315" max="2318" width="15.140625" style="58" customWidth="1"/>
    <col min="2319" max="2321" width="0" style="58" hidden="1" customWidth="1"/>
    <col min="2322" max="2323" width="10.7109375" style="58" bestFit="1" customWidth="1"/>
    <col min="2324" max="2324" width="10.28515625" style="58" bestFit="1" customWidth="1"/>
    <col min="2325" max="2325" width="11.85546875" style="58" bestFit="1" customWidth="1"/>
    <col min="2326" max="2326" width="15.42578125" style="58" customWidth="1"/>
    <col min="2327" max="2559" width="9.140625" style="58"/>
    <col min="2560" max="2560" width="7" style="58" bestFit="1" customWidth="1"/>
    <col min="2561" max="2561" width="8.42578125" style="58" customWidth="1"/>
    <col min="2562" max="2562" width="5.28515625" style="58" bestFit="1" customWidth="1"/>
    <col min="2563" max="2563" width="58.140625" style="58" customWidth="1"/>
    <col min="2564" max="2564" width="0" style="58" hidden="1" customWidth="1"/>
    <col min="2565" max="2565" width="18.42578125" style="58" bestFit="1" customWidth="1"/>
    <col min="2566" max="2566" width="0" style="58" hidden="1" customWidth="1"/>
    <col min="2567" max="2567" width="18.42578125" style="58" customWidth="1"/>
    <col min="2568" max="2568" width="0" style="58" hidden="1" customWidth="1"/>
    <col min="2569" max="2569" width="9.140625" style="58"/>
    <col min="2570" max="2570" width="0" style="58" hidden="1" customWidth="1"/>
    <col min="2571" max="2574" width="15.140625" style="58" customWidth="1"/>
    <col min="2575" max="2577" width="0" style="58" hidden="1" customWidth="1"/>
    <col min="2578" max="2579" width="10.7109375" style="58" bestFit="1" customWidth="1"/>
    <col min="2580" max="2580" width="10.28515625" style="58" bestFit="1" customWidth="1"/>
    <col min="2581" max="2581" width="11.85546875" style="58" bestFit="1" customWidth="1"/>
    <col min="2582" max="2582" width="15.42578125" style="58" customWidth="1"/>
    <col min="2583" max="2815" width="9.140625" style="58"/>
    <col min="2816" max="2816" width="7" style="58" bestFit="1" customWidth="1"/>
    <col min="2817" max="2817" width="8.42578125" style="58" customWidth="1"/>
    <col min="2818" max="2818" width="5.28515625" style="58" bestFit="1" customWidth="1"/>
    <col min="2819" max="2819" width="58.140625" style="58" customWidth="1"/>
    <col min="2820" max="2820" width="0" style="58" hidden="1" customWidth="1"/>
    <col min="2821" max="2821" width="18.42578125" style="58" bestFit="1" customWidth="1"/>
    <col min="2822" max="2822" width="0" style="58" hidden="1" customWidth="1"/>
    <col min="2823" max="2823" width="18.42578125" style="58" customWidth="1"/>
    <col min="2824" max="2824" width="0" style="58" hidden="1" customWidth="1"/>
    <col min="2825" max="2825" width="9.140625" style="58"/>
    <col min="2826" max="2826" width="0" style="58" hidden="1" customWidth="1"/>
    <col min="2827" max="2830" width="15.140625" style="58" customWidth="1"/>
    <col min="2831" max="2833" width="0" style="58" hidden="1" customWidth="1"/>
    <col min="2834" max="2835" width="10.7109375" style="58" bestFit="1" customWidth="1"/>
    <col min="2836" max="2836" width="10.28515625" style="58" bestFit="1" customWidth="1"/>
    <col min="2837" max="2837" width="11.85546875" style="58" bestFit="1" customWidth="1"/>
    <col min="2838" max="2838" width="15.42578125" style="58" customWidth="1"/>
    <col min="2839" max="3071" width="9.140625" style="58"/>
    <col min="3072" max="3072" width="7" style="58" bestFit="1" customWidth="1"/>
    <col min="3073" max="3073" width="8.42578125" style="58" customWidth="1"/>
    <col min="3074" max="3074" width="5.28515625" style="58" bestFit="1" customWidth="1"/>
    <col min="3075" max="3075" width="58.140625" style="58" customWidth="1"/>
    <col min="3076" max="3076" width="0" style="58" hidden="1" customWidth="1"/>
    <col min="3077" max="3077" width="18.42578125" style="58" bestFit="1" customWidth="1"/>
    <col min="3078" max="3078" width="0" style="58" hidden="1" customWidth="1"/>
    <col min="3079" max="3079" width="18.42578125" style="58" customWidth="1"/>
    <col min="3080" max="3080" width="0" style="58" hidden="1" customWidth="1"/>
    <col min="3081" max="3081" width="9.140625" style="58"/>
    <col min="3082" max="3082" width="0" style="58" hidden="1" customWidth="1"/>
    <col min="3083" max="3086" width="15.140625" style="58" customWidth="1"/>
    <col min="3087" max="3089" width="0" style="58" hidden="1" customWidth="1"/>
    <col min="3090" max="3091" width="10.7109375" style="58" bestFit="1" customWidth="1"/>
    <col min="3092" max="3092" width="10.28515625" style="58" bestFit="1" customWidth="1"/>
    <col min="3093" max="3093" width="11.85546875" style="58" bestFit="1" customWidth="1"/>
    <col min="3094" max="3094" width="15.42578125" style="58" customWidth="1"/>
    <col min="3095" max="3327" width="9.140625" style="58"/>
    <col min="3328" max="3328" width="7" style="58" bestFit="1" customWidth="1"/>
    <col min="3329" max="3329" width="8.42578125" style="58" customWidth="1"/>
    <col min="3330" max="3330" width="5.28515625" style="58" bestFit="1" customWidth="1"/>
    <col min="3331" max="3331" width="58.140625" style="58" customWidth="1"/>
    <col min="3332" max="3332" width="0" style="58" hidden="1" customWidth="1"/>
    <col min="3333" max="3333" width="18.42578125" style="58" bestFit="1" customWidth="1"/>
    <col min="3334" max="3334" width="0" style="58" hidden="1" customWidth="1"/>
    <col min="3335" max="3335" width="18.42578125" style="58" customWidth="1"/>
    <col min="3336" max="3336" width="0" style="58" hidden="1" customWidth="1"/>
    <col min="3337" max="3337" width="9.140625" style="58"/>
    <col min="3338" max="3338" width="0" style="58" hidden="1" customWidth="1"/>
    <col min="3339" max="3342" width="15.140625" style="58" customWidth="1"/>
    <col min="3343" max="3345" width="0" style="58" hidden="1" customWidth="1"/>
    <col min="3346" max="3347" width="10.7109375" style="58" bestFit="1" customWidth="1"/>
    <col min="3348" max="3348" width="10.28515625" style="58" bestFit="1" customWidth="1"/>
    <col min="3349" max="3349" width="11.85546875" style="58" bestFit="1" customWidth="1"/>
    <col min="3350" max="3350" width="15.42578125" style="58" customWidth="1"/>
    <col min="3351" max="3583" width="9.140625" style="58"/>
    <col min="3584" max="3584" width="7" style="58" bestFit="1" customWidth="1"/>
    <col min="3585" max="3585" width="8.42578125" style="58" customWidth="1"/>
    <col min="3586" max="3586" width="5.28515625" style="58" bestFit="1" customWidth="1"/>
    <col min="3587" max="3587" width="58.140625" style="58" customWidth="1"/>
    <col min="3588" max="3588" width="0" style="58" hidden="1" customWidth="1"/>
    <col min="3589" max="3589" width="18.42578125" style="58" bestFit="1" customWidth="1"/>
    <col min="3590" max="3590" width="0" style="58" hidden="1" customWidth="1"/>
    <col min="3591" max="3591" width="18.42578125" style="58" customWidth="1"/>
    <col min="3592" max="3592" width="0" style="58" hidden="1" customWidth="1"/>
    <col min="3593" max="3593" width="9.140625" style="58"/>
    <col min="3594" max="3594" width="0" style="58" hidden="1" customWidth="1"/>
    <col min="3595" max="3598" width="15.140625" style="58" customWidth="1"/>
    <col min="3599" max="3601" width="0" style="58" hidden="1" customWidth="1"/>
    <col min="3602" max="3603" width="10.7109375" style="58" bestFit="1" customWidth="1"/>
    <col min="3604" max="3604" width="10.28515625" style="58" bestFit="1" customWidth="1"/>
    <col min="3605" max="3605" width="11.85546875" style="58" bestFit="1" customWidth="1"/>
    <col min="3606" max="3606" width="15.42578125" style="58" customWidth="1"/>
    <col min="3607" max="3839" width="9.140625" style="58"/>
    <col min="3840" max="3840" width="7" style="58" bestFit="1" customWidth="1"/>
    <col min="3841" max="3841" width="8.42578125" style="58" customWidth="1"/>
    <col min="3842" max="3842" width="5.28515625" style="58" bestFit="1" customWidth="1"/>
    <col min="3843" max="3843" width="58.140625" style="58" customWidth="1"/>
    <col min="3844" max="3844" width="0" style="58" hidden="1" customWidth="1"/>
    <col min="3845" max="3845" width="18.42578125" style="58" bestFit="1" customWidth="1"/>
    <col min="3846" max="3846" width="0" style="58" hidden="1" customWidth="1"/>
    <col min="3847" max="3847" width="18.42578125" style="58" customWidth="1"/>
    <col min="3848" max="3848" width="0" style="58" hidden="1" customWidth="1"/>
    <col min="3849" max="3849" width="9.140625" style="58"/>
    <col min="3850" max="3850" width="0" style="58" hidden="1" customWidth="1"/>
    <col min="3851" max="3854" width="15.140625" style="58" customWidth="1"/>
    <col min="3855" max="3857" width="0" style="58" hidden="1" customWidth="1"/>
    <col min="3858" max="3859" width="10.7109375" style="58" bestFit="1" customWidth="1"/>
    <col min="3860" max="3860" width="10.28515625" style="58" bestFit="1" customWidth="1"/>
    <col min="3861" max="3861" width="11.85546875" style="58" bestFit="1" customWidth="1"/>
    <col min="3862" max="3862" width="15.42578125" style="58" customWidth="1"/>
    <col min="3863" max="4095" width="9.140625" style="58"/>
    <col min="4096" max="4096" width="7" style="58" bestFit="1" customWidth="1"/>
    <col min="4097" max="4097" width="8.42578125" style="58" customWidth="1"/>
    <col min="4098" max="4098" width="5.28515625" style="58" bestFit="1" customWidth="1"/>
    <col min="4099" max="4099" width="58.140625" style="58" customWidth="1"/>
    <col min="4100" max="4100" width="0" style="58" hidden="1" customWidth="1"/>
    <col min="4101" max="4101" width="18.42578125" style="58" bestFit="1" customWidth="1"/>
    <col min="4102" max="4102" width="0" style="58" hidden="1" customWidth="1"/>
    <col min="4103" max="4103" width="18.42578125" style="58" customWidth="1"/>
    <col min="4104" max="4104" width="0" style="58" hidden="1" customWidth="1"/>
    <col min="4105" max="4105" width="9.140625" style="58"/>
    <col min="4106" max="4106" width="0" style="58" hidden="1" customWidth="1"/>
    <col min="4107" max="4110" width="15.140625" style="58" customWidth="1"/>
    <col min="4111" max="4113" width="0" style="58" hidden="1" customWidth="1"/>
    <col min="4114" max="4115" width="10.7109375" style="58" bestFit="1" customWidth="1"/>
    <col min="4116" max="4116" width="10.28515625" style="58" bestFit="1" customWidth="1"/>
    <col min="4117" max="4117" width="11.85546875" style="58" bestFit="1" customWidth="1"/>
    <col min="4118" max="4118" width="15.42578125" style="58" customWidth="1"/>
    <col min="4119" max="4351" width="9.140625" style="58"/>
    <col min="4352" max="4352" width="7" style="58" bestFit="1" customWidth="1"/>
    <col min="4353" max="4353" width="8.42578125" style="58" customWidth="1"/>
    <col min="4354" max="4354" width="5.28515625" style="58" bestFit="1" customWidth="1"/>
    <col min="4355" max="4355" width="58.140625" style="58" customWidth="1"/>
    <col min="4356" max="4356" width="0" style="58" hidden="1" customWidth="1"/>
    <col min="4357" max="4357" width="18.42578125" style="58" bestFit="1" customWidth="1"/>
    <col min="4358" max="4358" width="0" style="58" hidden="1" customWidth="1"/>
    <col min="4359" max="4359" width="18.42578125" style="58" customWidth="1"/>
    <col min="4360" max="4360" width="0" style="58" hidden="1" customWidth="1"/>
    <col min="4361" max="4361" width="9.140625" style="58"/>
    <col min="4362" max="4362" width="0" style="58" hidden="1" customWidth="1"/>
    <col min="4363" max="4366" width="15.140625" style="58" customWidth="1"/>
    <col min="4367" max="4369" width="0" style="58" hidden="1" customWidth="1"/>
    <col min="4370" max="4371" width="10.7109375" style="58" bestFit="1" customWidth="1"/>
    <col min="4372" max="4372" width="10.28515625" style="58" bestFit="1" customWidth="1"/>
    <col min="4373" max="4373" width="11.85546875" style="58" bestFit="1" customWidth="1"/>
    <col min="4374" max="4374" width="15.42578125" style="58" customWidth="1"/>
    <col min="4375" max="4607" width="9.140625" style="58"/>
    <col min="4608" max="4608" width="7" style="58" bestFit="1" customWidth="1"/>
    <col min="4609" max="4609" width="8.42578125" style="58" customWidth="1"/>
    <col min="4610" max="4610" width="5.28515625" style="58" bestFit="1" customWidth="1"/>
    <col min="4611" max="4611" width="58.140625" style="58" customWidth="1"/>
    <col min="4612" max="4612" width="0" style="58" hidden="1" customWidth="1"/>
    <col min="4613" max="4613" width="18.42578125" style="58" bestFit="1" customWidth="1"/>
    <col min="4614" max="4614" width="0" style="58" hidden="1" customWidth="1"/>
    <col min="4615" max="4615" width="18.42578125" style="58" customWidth="1"/>
    <col min="4616" max="4616" width="0" style="58" hidden="1" customWidth="1"/>
    <col min="4617" max="4617" width="9.140625" style="58"/>
    <col min="4618" max="4618" width="0" style="58" hidden="1" customWidth="1"/>
    <col min="4619" max="4622" width="15.140625" style="58" customWidth="1"/>
    <col min="4623" max="4625" width="0" style="58" hidden="1" customWidth="1"/>
    <col min="4626" max="4627" width="10.7109375" style="58" bestFit="1" customWidth="1"/>
    <col min="4628" max="4628" width="10.28515625" style="58" bestFit="1" customWidth="1"/>
    <col min="4629" max="4629" width="11.85546875" style="58" bestFit="1" customWidth="1"/>
    <col min="4630" max="4630" width="15.42578125" style="58" customWidth="1"/>
    <col min="4631" max="4863" width="9.140625" style="58"/>
    <col min="4864" max="4864" width="7" style="58" bestFit="1" customWidth="1"/>
    <col min="4865" max="4865" width="8.42578125" style="58" customWidth="1"/>
    <col min="4866" max="4866" width="5.28515625" style="58" bestFit="1" customWidth="1"/>
    <col min="4867" max="4867" width="58.140625" style="58" customWidth="1"/>
    <col min="4868" max="4868" width="0" style="58" hidden="1" customWidth="1"/>
    <col min="4869" max="4869" width="18.42578125" style="58" bestFit="1" customWidth="1"/>
    <col min="4870" max="4870" width="0" style="58" hidden="1" customWidth="1"/>
    <col min="4871" max="4871" width="18.42578125" style="58" customWidth="1"/>
    <col min="4872" max="4872" width="0" style="58" hidden="1" customWidth="1"/>
    <col min="4873" max="4873" width="9.140625" style="58"/>
    <col min="4874" max="4874" width="0" style="58" hidden="1" customWidth="1"/>
    <col min="4875" max="4878" width="15.140625" style="58" customWidth="1"/>
    <col min="4879" max="4881" width="0" style="58" hidden="1" customWidth="1"/>
    <col min="4882" max="4883" width="10.7109375" style="58" bestFit="1" customWidth="1"/>
    <col min="4884" max="4884" width="10.28515625" style="58" bestFit="1" customWidth="1"/>
    <col min="4885" max="4885" width="11.85546875" style="58" bestFit="1" customWidth="1"/>
    <col min="4886" max="4886" width="15.42578125" style="58" customWidth="1"/>
    <col min="4887" max="5119" width="9.140625" style="58"/>
    <col min="5120" max="5120" width="7" style="58" bestFit="1" customWidth="1"/>
    <col min="5121" max="5121" width="8.42578125" style="58" customWidth="1"/>
    <col min="5122" max="5122" width="5.28515625" style="58" bestFit="1" customWidth="1"/>
    <col min="5123" max="5123" width="58.140625" style="58" customWidth="1"/>
    <col min="5124" max="5124" width="0" style="58" hidden="1" customWidth="1"/>
    <col min="5125" max="5125" width="18.42578125" style="58" bestFit="1" customWidth="1"/>
    <col min="5126" max="5126" width="0" style="58" hidden="1" customWidth="1"/>
    <col min="5127" max="5127" width="18.42578125" style="58" customWidth="1"/>
    <col min="5128" max="5128" width="0" style="58" hidden="1" customWidth="1"/>
    <col min="5129" max="5129" width="9.140625" style="58"/>
    <col min="5130" max="5130" width="0" style="58" hidden="1" customWidth="1"/>
    <col min="5131" max="5134" width="15.140625" style="58" customWidth="1"/>
    <col min="5135" max="5137" width="0" style="58" hidden="1" customWidth="1"/>
    <col min="5138" max="5139" width="10.7109375" style="58" bestFit="1" customWidth="1"/>
    <col min="5140" max="5140" width="10.28515625" style="58" bestFit="1" customWidth="1"/>
    <col min="5141" max="5141" width="11.85546875" style="58" bestFit="1" customWidth="1"/>
    <col min="5142" max="5142" width="15.42578125" style="58" customWidth="1"/>
    <col min="5143" max="5375" width="9.140625" style="58"/>
    <col min="5376" max="5376" width="7" style="58" bestFit="1" customWidth="1"/>
    <col min="5377" max="5377" width="8.42578125" style="58" customWidth="1"/>
    <col min="5378" max="5378" width="5.28515625" style="58" bestFit="1" customWidth="1"/>
    <col min="5379" max="5379" width="58.140625" style="58" customWidth="1"/>
    <col min="5380" max="5380" width="0" style="58" hidden="1" customWidth="1"/>
    <col min="5381" max="5381" width="18.42578125" style="58" bestFit="1" customWidth="1"/>
    <col min="5382" max="5382" width="0" style="58" hidden="1" customWidth="1"/>
    <col min="5383" max="5383" width="18.42578125" style="58" customWidth="1"/>
    <col min="5384" max="5384" width="0" style="58" hidden="1" customWidth="1"/>
    <col min="5385" max="5385" width="9.140625" style="58"/>
    <col min="5386" max="5386" width="0" style="58" hidden="1" customWidth="1"/>
    <col min="5387" max="5390" width="15.140625" style="58" customWidth="1"/>
    <col min="5391" max="5393" width="0" style="58" hidden="1" customWidth="1"/>
    <col min="5394" max="5395" width="10.7109375" style="58" bestFit="1" customWidth="1"/>
    <col min="5396" max="5396" width="10.28515625" style="58" bestFit="1" customWidth="1"/>
    <col min="5397" max="5397" width="11.85546875" style="58" bestFit="1" customWidth="1"/>
    <col min="5398" max="5398" width="15.42578125" style="58" customWidth="1"/>
    <col min="5399" max="5631" width="9.140625" style="58"/>
    <col min="5632" max="5632" width="7" style="58" bestFit="1" customWidth="1"/>
    <col min="5633" max="5633" width="8.42578125" style="58" customWidth="1"/>
    <col min="5634" max="5634" width="5.28515625" style="58" bestFit="1" customWidth="1"/>
    <col min="5635" max="5635" width="58.140625" style="58" customWidth="1"/>
    <col min="5636" max="5636" width="0" style="58" hidden="1" customWidth="1"/>
    <col min="5637" max="5637" width="18.42578125" style="58" bestFit="1" customWidth="1"/>
    <col min="5638" max="5638" width="0" style="58" hidden="1" customWidth="1"/>
    <col min="5639" max="5639" width="18.42578125" style="58" customWidth="1"/>
    <col min="5640" max="5640" width="0" style="58" hidden="1" customWidth="1"/>
    <col min="5641" max="5641" width="9.140625" style="58"/>
    <col min="5642" max="5642" width="0" style="58" hidden="1" customWidth="1"/>
    <col min="5643" max="5646" width="15.140625" style="58" customWidth="1"/>
    <col min="5647" max="5649" width="0" style="58" hidden="1" customWidth="1"/>
    <col min="5650" max="5651" width="10.7109375" style="58" bestFit="1" customWidth="1"/>
    <col min="5652" max="5652" width="10.28515625" style="58" bestFit="1" customWidth="1"/>
    <col min="5653" max="5653" width="11.85546875" style="58" bestFit="1" customWidth="1"/>
    <col min="5654" max="5654" width="15.42578125" style="58" customWidth="1"/>
    <col min="5655" max="5887" width="9.140625" style="58"/>
    <col min="5888" max="5888" width="7" style="58" bestFit="1" customWidth="1"/>
    <col min="5889" max="5889" width="8.42578125" style="58" customWidth="1"/>
    <col min="5890" max="5890" width="5.28515625" style="58" bestFit="1" customWidth="1"/>
    <col min="5891" max="5891" width="58.140625" style="58" customWidth="1"/>
    <col min="5892" max="5892" width="0" style="58" hidden="1" customWidth="1"/>
    <col min="5893" max="5893" width="18.42578125" style="58" bestFit="1" customWidth="1"/>
    <col min="5894" max="5894" width="0" style="58" hidden="1" customWidth="1"/>
    <col min="5895" max="5895" width="18.42578125" style="58" customWidth="1"/>
    <col min="5896" max="5896" width="0" style="58" hidden="1" customWidth="1"/>
    <col min="5897" max="5897" width="9.140625" style="58"/>
    <col min="5898" max="5898" width="0" style="58" hidden="1" customWidth="1"/>
    <col min="5899" max="5902" width="15.140625" style="58" customWidth="1"/>
    <col min="5903" max="5905" width="0" style="58" hidden="1" customWidth="1"/>
    <col min="5906" max="5907" width="10.7109375" style="58" bestFit="1" customWidth="1"/>
    <col min="5908" max="5908" width="10.28515625" style="58" bestFit="1" customWidth="1"/>
    <col min="5909" max="5909" width="11.85546875" style="58" bestFit="1" customWidth="1"/>
    <col min="5910" max="5910" width="15.42578125" style="58" customWidth="1"/>
    <col min="5911" max="6143" width="9.140625" style="58"/>
    <col min="6144" max="6144" width="7" style="58" bestFit="1" customWidth="1"/>
    <col min="6145" max="6145" width="8.42578125" style="58" customWidth="1"/>
    <col min="6146" max="6146" width="5.28515625" style="58" bestFit="1" customWidth="1"/>
    <col min="6147" max="6147" width="58.140625" style="58" customWidth="1"/>
    <col min="6148" max="6148" width="0" style="58" hidden="1" customWidth="1"/>
    <col min="6149" max="6149" width="18.42578125" style="58" bestFit="1" customWidth="1"/>
    <col min="6150" max="6150" width="0" style="58" hidden="1" customWidth="1"/>
    <col min="6151" max="6151" width="18.42578125" style="58" customWidth="1"/>
    <col min="6152" max="6152" width="0" style="58" hidden="1" customWidth="1"/>
    <col min="6153" max="6153" width="9.140625" style="58"/>
    <col min="6154" max="6154" width="0" style="58" hidden="1" customWidth="1"/>
    <col min="6155" max="6158" width="15.140625" style="58" customWidth="1"/>
    <col min="6159" max="6161" width="0" style="58" hidden="1" customWidth="1"/>
    <col min="6162" max="6163" width="10.7109375" style="58" bestFit="1" customWidth="1"/>
    <col min="6164" max="6164" width="10.28515625" style="58" bestFit="1" customWidth="1"/>
    <col min="6165" max="6165" width="11.85546875" style="58" bestFit="1" customWidth="1"/>
    <col min="6166" max="6166" width="15.42578125" style="58" customWidth="1"/>
    <col min="6167" max="6399" width="9.140625" style="58"/>
    <col min="6400" max="6400" width="7" style="58" bestFit="1" customWidth="1"/>
    <col min="6401" max="6401" width="8.42578125" style="58" customWidth="1"/>
    <col min="6402" max="6402" width="5.28515625" style="58" bestFit="1" customWidth="1"/>
    <col min="6403" max="6403" width="58.140625" style="58" customWidth="1"/>
    <col min="6404" max="6404" width="0" style="58" hidden="1" customWidth="1"/>
    <col min="6405" max="6405" width="18.42578125" style="58" bestFit="1" customWidth="1"/>
    <col min="6406" max="6406" width="0" style="58" hidden="1" customWidth="1"/>
    <col min="6407" max="6407" width="18.42578125" style="58" customWidth="1"/>
    <col min="6408" max="6408" width="0" style="58" hidden="1" customWidth="1"/>
    <col min="6409" max="6409" width="9.140625" style="58"/>
    <col min="6410" max="6410" width="0" style="58" hidden="1" customWidth="1"/>
    <col min="6411" max="6414" width="15.140625" style="58" customWidth="1"/>
    <col min="6415" max="6417" width="0" style="58" hidden="1" customWidth="1"/>
    <col min="6418" max="6419" width="10.7109375" style="58" bestFit="1" customWidth="1"/>
    <col min="6420" max="6420" width="10.28515625" style="58" bestFit="1" customWidth="1"/>
    <col min="6421" max="6421" width="11.85546875" style="58" bestFit="1" customWidth="1"/>
    <col min="6422" max="6422" width="15.42578125" style="58" customWidth="1"/>
    <col min="6423" max="6655" width="9.140625" style="58"/>
    <col min="6656" max="6656" width="7" style="58" bestFit="1" customWidth="1"/>
    <col min="6657" max="6657" width="8.42578125" style="58" customWidth="1"/>
    <col min="6658" max="6658" width="5.28515625" style="58" bestFit="1" customWidth="1"/>
    <col min="6659" max="6659" width="58.140625" style="58" customWidth="1"/>
    <col min="6660" max="6660" width="0" style="58" hidden="1" customWidth="1"/>
    <col min="6661" max="6661" width="18.42578125" style="58" bestFit="1" customWidth="1"/>
    <col min="6662" max="6662" width="0" style="58" hidden="1" customWidth="1"/>
    <col min="6663" max="6663" width="18.42578125" style="58" customWidth="1"/>
    <col min="6664" max="6664" width="0" style="58" hidden="1" customWidth="1"/>
    <col min="6665" max="6665" width="9.140625" style="58"/>
    <col min="6666" max="6666" width="0" style="58" hidden="1" customWidth="1"/>
    <col min="6667" max="6670" width="15.140625" style="58" customWidth="1"/>
    <col min="6671" max="6673" width="0" style="58" hidden="1" customWidth="1"/>
    <col min="6674" max="6675" width="10.7109375" style="58" bestFit="1" customWidth="1"/>
    <col min="6676" max="6676" width="10.28515625" style="58" bestFit="1" customWidth="1"/>
    <col min="6677" max="6677" width="11.85546875" style="58" bestFit="1" customWidth="1"/>
    <col min="6678" max="6678" width="15.42578125" style="58" customWidth="1"/>
    <col min="6679" max="6911" width="9.140625" style="58"/>
    <col min="6912" max="6912" width="7" style="58" bestFit="1" customWidth="1"/>
    <col min="6913" max="6913" width="8.42578125" style="58" customWidth="1"/>
    <col min="6914" max="6914" width="5.28515625" style="58" bestFit="1" customWidth="1"/>
    <col min="6915" max="6915" width="58.140625" style="58" customWidth="1"/>
    <col min="6916" max="6916" width="0" style="58" hidden="1" customWidth="1"/>
    <col min="6917" max="6917" width="18.42578125" style="58" bestFit="1" customWidth="1"/>
    <col min="6918" max="6918" width="0" style="58" hidden="1" customWidth="1"/>
    <col min="6919" max="6919" width="18.42578125" style="58" customWidth="1"/>
    <col min="6920" max="6920" width="0" style="58" hidden="1" customWidth="1"/>
    <col min="6921" max="6921" width="9.140625" style="58"/>
    <col min="6922" max="6922" width="0" style="58" hidden="1" customWidth="1"/>
    <col min="6923" max="6926" width="15.140625" style="58" customWidth="1"/>
    <col min="6927" max="6929" width="0" style="58" hidden="1" customWidth="1"/>
    <col min="6930" max="6931" width="10.7109375" style="58" bestFit="1" customWidth="1"/>
    <col min="6932" max="6932" width="10.28515625" style="58" bestFit="1" customWidth="1"/>
    <col min="6933" max="6933" width="11.85546875" style="58" bestFit="1" customWidth="1"/>
    <col min="6934" max="6934" width="15.42578125" style="58" customWidth="1"/>
    <col min="6935" max="7167" width="9.140625" style="58"/>
    <col min="7168" max="7168" width="7" style="58" bestFit="1" customWidth="1"/>
    <col min="7169" max="7169" width="8.42578125" style="58" customWidth="1"/>
    <col min="7170" max="7170" width="5.28515625" style="58" bestFit="1" customWidth="1"/>
    <col min="7171" max="7171" width="58.140625" style="58" customWidth="1"/>
    <col min="7172" max="7172" width="0" style="58" hidden="1" customWidth="1"/>
    <col min="7173" max="7173" width="18.42578125" style="58" bestFit="1" customWidth="1"/>
    <col min="7174" max="7174" width="0" style="58" hidden="1" customWidth="1"/>
    <col min="7175" max="7175" width="18.42578125" style="58" customWidth="1"/>
    <col min="7176" max="7176" width="0" style="58" hidden="1" customWidth="1"/>
    <col min="7177" max="7177" width="9.140625" style="58"/>
    <col min="7178" max="7178" width="0" style="58" hidden="1" customWidth="1"/>
    <col min="7179" max="7182" width="15.140625" style="58" customWidth="1"/>
    <col min="7183" max="7185" width="0" style="58" hidden="1" customWidth="1"/>
    <col min="7186" max="7187" width="10.7109375" style="58" bestFit="1" customWidth="1"/>
    <col min="7188" max="7188" width="10.28515625" style="58" bestFit="1" customWidth="1"/>
    <col min="7189" max="7189" width="11.85546875" style="58" bestFit="1" customWidth="1"/>
    <col min="7190" max="7190" width="15.42578125" style="58" customWidth="1"/>
    <col min="7191" max="7423" width="9.140625" style="58"/>
    <col min="7424" max="7424" width="7" style="58" bestFit="1" customWidth="1"/>
    <col min="7425" max="7425" width="8.42578125" style="58" customWidth="1"/>
    <col min="7426" max="7426" width="5.28515625" style="58" bestFit="1" customWidth="1"/>
    <col min="7427" max="7427" width="58.140625" style="58" customWidth="1"/>
    <col min="7428" max="7428" width="0" style="58" hidden="1" customWidth="1"/>
    <col min="7429" max="7429" width="18.42578125" style="58" bestFit="1" customWidth="1"/>
    <col min="7430" max="7430" width="0" style="58" hidden="1" customWidth="1"/>
    <col min="7431" max="7431" width="18.42578125" style="58" customWidth="1"/>
    <col min="7432" max="7432" width="0" style="58" hidden="1" customWidth="1"/>
    <col min="7433" max="7433" width="9.140625" style="58"/>
    <col min="7434" max="7434" width="0" style="58" hidden="1" customWidth="1"/>
    <col min="7435" max="7438" width="15.140625" style="58" customWidth="1"/>
    <col min="7439" max="7441" width="0" style="58" hidden="1" customWidth="1"/>
    <col min="7442" max="7443" width="10.7109375" style="58" bestFit="1" customWidth="1"/>
    <col min="7444" max="7444" width="10.28515625" style="58" bestFit="1" customWidth="1"/>
    <col min="7445" max="7445" width="11.85546875" style="58" bestFit="1" customWidth="1"/>
    <col min="7446" max="7446" width="15.42578125" style="58" customWidth="1"/>
    <col min="7447" max="7679" width="9.140625" style="58"/>
    <col min="7680" max="7680" width="7" style="58" bestFit="1" customWidth="1"/>
    <col min="7681" max="7681" width="8.42578125" style="58" customWidth="1"/>
    <col min="7682" max="7682" width="5.28515625" style="58" bestFit="1" customWidth="1"/>
    <col min="7683" max="7683" width="58.140625" style="58" customWidth="1"/>
    <col min="7684" max="7684" width="0" style="58" hidden="1" customWidth="1"/>
    <col min="7685" max="7685" width="18.42578125" style="58" bestFit="1" customWidth="1"/>
    <col min="7686" max="7686" width="0" style="58" hidden="1" customWidth="1"/>
    <col min="7687" max="7687" width="18.42578125" style="58" customWidth="1"/>
    <col min="7688" max="7688" width="0" style="58" hidden="1" customWidth="1"/>
    <col min="7689" max="7689" width="9.140625" style="58"/>
    <col min="7690" max="7690" width="0" style="58" hidden="1" customWidth="1"/>
    <col min="7691" max="7694" width="15.140625" style="58" customWidth="1"/>
    <col min="7695" max="7697" width="0" style="58" hidden="1" customWidth="1"/>
    <col min="7698" max="7699" width="10.7109375" style="58" bestFit="1" customWidth="1"/>
    <col min="7700" max="7700" width="10.28515625" style="58" bestFit="1" customWidth="1"/>
    <col min="7701" max="7701" width="11.85546875" style="58" bestFit="1" customWidth="1"/>
    <col min="7702" max="7702" width="15.42578125" style="58" customWidth="1"/>
    <col min="7703" max="7935" width="9.140625" style="58"/>
    <col min="7936" max="7936" width="7" style="58" bestFit="1" customWidth="1"/>
    <col min="7937" max="7937" width="8.42578125" style="58" customWidth="1"/>
    <col min="7938" max="7938" width="5.28515625" style="58" bestFit="1" customWidth="1"/>
    <col min="7939" max="7939" width="58.140625" style="58" customWidth="1"/>
    <col min="7940" max="7940" width="0" style="58" hidden="1" customWidth="1"/>
    <col min="7941" max="7941" width="18.42578125" style="58" bestFit="1" customWidth="1"/>
    <col min="7942" max="7942" width="0" style="58" hidden="1" customWidth="1"/>
    <col min="7943" max="7943" width="18.42578125" style="58" customWidth="1"/>
    <col min="7944" max="7944" width="0" style="58" hidden="1" customWidth="1"/>
    <col min="7945" max="7945" width="9.140625" style="58"/>
    <col min="7946" max="7946" width="0" style="58" hidden="1" customWidth="1"/>
    <col min="7947" max="7950" width="15.140625" style="58" customWidth="1"/>
    <col min="7951" max="7953" width="0" style="58" hidden="1" customWidth="1"/>
    <col min="7954" max="7955" width="10.7109375" style="58" bestFit="1" customWidth="1"/>
    <col min="7956" max="7956" width="10.28515625" style="58" bestFit="1" customWidth="1"/>
    <col min="7957" max="7957" width="11.85546875" style="58" bestFit="1" customWidth="1"/>
    <col min="7958" max="7958" width="15.42578125" style="58" customWidth="1"/>
    <col min="7959" max="8191" width="9.140625" style="58"/>
    <col min="8192" max="8192" width="7" style="58" bestFit="1" customWidth="1"/>
    <col min="8193" max="8193" width="8.42578125" style="58" customWidth="1"/>
    <col min="8194" max="8194" width="5.28515625" style="58" bestFit="1" customWidth="1"/>
    <col min="8195" max="8195" width="58.140625" style="58" customWidth="1"/>
    <col min="8196" max="8196" width="0" style="58" hidden="1" customWidth="1"/>
    <col min="8197" max="8197" width="18.42578125" style="58" bestFit="1" customWidth="1"/>
    <col min="8198" max="8198" width="0" style="58" hidden="1" customWidth="1"/>
    <col min="8199" max="8199" width="18.42578125" style="58" customWidth="1"/>
    <col min="8200" max="8200" width="0" style="58" hidden="1" customWidth="1"/>
    <col min="8201" max="8201" width="9.140625" style="58"/>
    <col min="8202" max="8202" width="0" style="58" hidden="1" customWidth="1"/>
    <col min="8203" max="8206" width="15.140625" style="58" customWidth="1"/>
    <col min="8207" max="8209" width="0" style="58" hidden="1" customWidth="1"/>
    <col min="8210" max="8211" width="10.7109375" style="58" bestFit="1" customWidth="1"/>
    <col min="8212" max="8212" width="10.28515625" style="58" bestFit="1" customWidth="1"/>
    <col min="8213" max="8213" width="11.85546875" style="58" bestFit="1" customWidth="1"/>
    <col min="8214" max="8214" width="15.42578125" style="58" customWidth="1"/>
    <col min="8215" max="8447" width="9.140625" style="58"/>
    <col min="8448" max="8448" width="7" style="58" bestFit="1" customWidth="1"/>
    <col min="8449" max="8449" width="8.42578125" style="58" customWidth="1"/>
    <col min="8450" max="8450" width="5.28515625" style="58" bestFit="1" customWidth="1"/>
    <col min="8451" max="8451" width="58.140625" style="58" customWidth="1"/>
    <col min="8452" max="8452" width="0" style="58" hidden="1" customWidth="1"/>
    <col min="8453" max="8453" width="18.42578125" style="58" bestFit="1" customWidth="1"/>
    <col min="8454" max="8454" width="0" style="58" hidden="1" customWidth="1"/>
    <col min="8455" max="8455" width="18.42578125" style="58" customWidth="1"/>
    <col min="8456" max="8456" width="0" style="58" hidden="1" customWidth="1"/>
    <col min="8457" max="8457" width="9.140625" style="58"/>
    <col min="8458" max="8458" width="0" style="58" hidden="1" customWidth="1"/>
    <col min="8459" max="8462" width="15.140625" style="58" customWidth="1"/>
    <col min="8463" max="8465" width="0" style="58" hidden="1" customWidth="1"/>
    <col min="8466" max="8467" width="10.7109375" style="58" bestFit="1" customWidth="1"/>
    <col min="8468" max="8468" width="10.28515625" style="58" bestFit="1" customWidth="1"/>
    <col min="8469" max="8469" width="11.85546875" style="58" bestFit="1" customWidth="1"/>
    <col min="8470" max="8470" width="15.42578125" style="58" customWidth="1"/>
    <col min="8471" max="8703" width="9.140625" style="58"/>
    <col min="8704" max="8704" width="7" style="58" bestFit="1" customWidth="1"/>
    <col min="8705" max="8705" width="8.42578125" style="58" customWidth="1"/>
    <col min="8706" max="8706" width="5.28515625" style="58" bestFit="1" customWidth="1"/>
    <col min="8707" max="8707" width="58.140625" style="58" customWidth="1"/>
    <col min="8708" max="8708" width="0" style="58" hidden="1" customWidth="1"/>
    <col min="8709" max="8709" width="18.42578125" style="58" bestFit="1" customWidth="1"/>
    <col min="8710" max="8710" width="0" style="58" hidden="1" customWidth="1"/>
    <col min="8711" max="8711" width="18.42578125" style="58" customWidth="1"/>
    <col min="8712" max="8712" width="0" style="58" hidden="1" customWidth="1"/>
    <col min="8713" max="8713" width="9.140625" style="58"/>
    <col min="8714" max="8714" width="0" style="58" hidden="1" customWidth="1"/>
    <col min="8715" max="8718" width="15.140625" style="58" customWidth="1"/>
    <col min="8719" max="8721" width="0" style="58" hidden="1" customWidth="1"/>
    <col min="8722" max="8723" width="10.7109375" style="58" bestFit="1" customWidth="1"/>
    <col min="8724" max="8724" width="10.28515625" style="58" bestFit="1" customWidth="1"/>
    <col min="8725" max="8725" width="11.85546875" style="58" bestFit="1" customWidth="1"/>
    <col min="8726" max="8726" width="15.42578125" style="58" customWidth="1"/>
    <col min="8727" max="8959" width="9.140625" style="58"/>
    <col min="8960" max="8960" width="7" style="58" bestFit="1" customWidth="1"/>
    <col min="8961" max="8961" width="8.42578125" style="58" customWidth="1"/>
    <col min="8962" max="8962" width="5.28515625" style="58" bestFit="1" customWidth="1"/>
    <col min="8963" max="8963" width="58.140625" style="58" customWidth="1"/>
    <col min="8964" max="8964" width="0" style="58" hidden="1" customWidth="1"/>
    <col min="8965" max="8965" width="18.42578125" style="58" bestFit="1" customWidth="1"/>
    <col min="8966" max="8966" width="0" style="58" hidden="1" customWidth="1"/>
    <col min="8967" max="8967" width="18.42578125" style="58" customWidth="1"/>
    <col min="8968" max="8968" width="0" style="58" hidden="1" customWidth="1"/>
    <col min="8969" max="8969" width="9.140625" style="58"/>
    <col min="8970" max="8970" width="0" style="58" hidden="1" customWidth="1"/>
    <col min="8971" max="8974" width="15.140625" style="58" customWidth="1"/>
    <col min="8975" max="8977" width="0" style="58" hidden="1" customWidth="1"/>
    <col min="8978" max="8979" width="10.7109375" style="58" bestFit="1" customWidth="1"/>
    <col min="8980" max="8980" width="10.28515625" style="58" bestFit="1" customWidth="1"/>
    <col min="8981" max="8981" width="11.85546875" style="58" bestFit="1" customWidth="1"/>
    <col min="8982" max="8982" width="15.42578125" style="58" customWidth="1"/>
    <col min="8983" max="9215" width="9.140625" style="58"/>
    <col min="9216" max="9216" width="7" style="58" bestFit="1" customWidth="1"/>
    <col min="9217" max="9217" width="8.42578125" style="58" customWidth="1"/>
    <col min="9218" max="9218" width="5.28515625" style="58" bestFit="1" customWidth="1"/>
    <col min="9219" max="9219" width="58.140625" style="58" customWidth="1"/>
    <col min="9220" max="9220" width="0" style="58" hidden="1" customWidth="1"/>
    <col min="9221" max="9221" width="18.42578125" style="58" bestFit="1" customWidth="1"/>
    <col min="9222" max="9222" width="0" style="58" hidden="1" customWidth="1"/>
    <col min="9223" max="9223" width="18.42578125" style="58" customWidth="1"/>
    <col min="9224" max="9224" width="0" style="58" hidden="1" customWidth="1"/>
    <col min="9225" max="9225" width="9.140625" style="58"/>
    <col min="9226" max="9226" width="0" style="58" hidden="1" customWidth="1"/>
    <col min="9227" max="9230" width="15.140625" style="58" customWidth="1"/>
    <col min="9231" max="9233" width="0" style="58" hidden="1" customWidth="1"/>
    <col min="9234" max="9235" width="10.7109375" style="58" bestFit="1" customWidth="1"/>
    <col min="9236" max="9236" width="10.28515625" style="58" bestFit="1" customWidth="1"/>
    <col min="9237" max="9237" width="11.85546875" style="58" bestFit="1" customWidth="1"/>
    <col min="9238" max="9238" width="15.42578125" style="58" customWidth="1"/>
    <col min="9239" max="9471" width="9.140625" style="58"/>
    <col min="9472" max="9472" width="7" style="58" bestFit="1" customWidth="1"/>
    <col min="9473" max="9473" width="8.42578125" style="58" customWidth="1"/>
    <col min="9474" max="9474" width="5.28515625" style="58" bestFit="1" customWidth="1"/>
    <col min="9475" max="9475" width="58.140625" style="58" customWidth="1"/>
    <col min="9476" max="9476" width="0" style="58" hidden="1" customWidth="1"/>
    <col min="9477" max="9477" width="18.42578125" style="58" bestFit="1" customWidth="1"/>
    <col min="9478" max="9478" width="0" style="58" hidden="1" customWidth="1"/>
    <col min="9479" max="9479" width="18.42578125" style="58" customWidth="1"/>
    <col min="9480" max="9480" width="0" style="58" hidden="1" customWidth="1"/>
    <col min="9481" max="9481" width="9.140625" style="58"/>
    <col min="9482" max="9482" width="0" style="58" hidden="1" customWidth="1"/>
    <col min="9483" max="9486" width="15.140625" style="58" customWidth="1"/>
    <col min="9487" max="9489" width="0" style="58" hidden="1" customWidth="1"/>
    <col min="9490" max="9491" width="10.7109375" style="58" bestFit="1" customWidth="1"/>
    <col min="9492" max="9492" width="10.28515625" style="58" bestFit="1" customWidth="1"/>
    <col min="9493" max="9493" width="11.85546875" style="58" bestFit="1" customWidth="1"/>
    <col min="9494" max="9494" width="15.42578125" style="58" customWidth="1"/>
    <col min="9495" max="9727" width="9.140625" style="58"/>
    <col min="9728" max="9728" width="7" style="58" bestFit="1" customWidth="1"/>
    <col min="9729" max="9729" width="8.42578125" style="58" customWidth="1"/>
    <col min="9730" max="9730" width="5.28515625" style="58" bestFit="1" customWidth="1"/>
    <col min="9731" max="9731" width="58.140625" style="58" customWidth="1"/>
    <col min="9732" max="9732" width="0" style="58" hidden="1" customWidth="1"/>
    <col min="9733" max="9733" width="18.42578125" style="58" bestFit="1" customWidth="1"/>
    <col min="9734" max="9734" width="0" style="58" hidden="1" customWidth="1"/>
    <col min="9735" max="9735" width="18.42578125" style="58" customWidth="1"/>
    <col min="9736" max="9736" width="0" style="58" hidden="1" customWidth="1"/>
    <col min="9737" max="9737" width="9.140625" style="58"/>
    <col min="9738" max="9738" width="0" style="58" hidden="1" customWidth="1"/>
    <col min="9739" max="9742" width="15.140625" style="58" customWidth="1"/>
    <col min="9743" max="9745" width="0" style="58" hidden="1" customWidth="1"/>
    <col min="9746" max="9747" width="10.7109375" style="58" bestFit="1" customWidth="1"/>
    <col min="9748" max="9748" width="10.28515625" style="58" bestFit="1" customWidth="1"/>
    <col min="9749" max="9749" width="11.85546875" style="58" bestFit="1" customWidth="1"/>
    <col min="9750" max="9750" width="15.42578125" style="58" customWidth="1"/>
    <col min="9751" max="9983" width="9.140625" style="58"/>
    <col min="9984" max="9984" width="7" style="58" bestFit="1" customWidth="1"/>
    <col min="9985" max="9985" width="8.42578125" style="58" customWidth="1"/>
    <col min="9986" max="9986" width="5.28515625" style="58" bestFit="1" customWidth="1"/>
    <col min="9987" max="9987" width="58.140625" style="58" customWidth="1"/>
    <col min="9988" max="9988" width="0" style="58" hidden="1" customWidth="1"/>
    <col min="9989" max="9989" width="18.42578125" style="58" bestFit="1" customWidth="1"/>
    <col min="9990" max="9990" width="0" style="58" hidden="1" customWidth="1"/>
    <col min="9991" max="9991" width="18.42578125" style="58" customWidth="1"/>
    <col min="9992" max="9992" width="0" style="58" hidden="1" customWidth="1"/>
    <col min="9993" max="9993" width="9.140625" style="58"/>
    <col min="9994" max="9994" width="0" style="58" hidden="1" customWidth="1"/>
    <col min="9995" max="9998" width="15.140625" style="58" customWidth="1"/>
    <col min="9999" max="10001" width="0" style="58" hidden="1" customWidth="1"/>
    <col min="10002" max="10003" width="10.7109375" style="58" bestFit="1" customWidth="1"/>
    <col min="10004" max="10004" width="10.28515625" style="58" bestFit="1" customWidth="1"/>
    <col min="10005" max="10005" width="11.85546875" style="58" bestFit="1" customWidth="1"/>
    <col min="10006" max="10006" width="15.42578125" style="58" customWidth="1"/>
    <col min="10007" max="10239" width="9.140625" style="58"/>
    <col min="10240" max="10240" width="7" style="58" bestFit="1" customWidth="1"/>
    <col min="10241" max="10241" width="8.42578125" style="58" customWidth="1"/>
    <col min="10242" max="10242" width="5.28515625" style="58" bestFit="1" customWidth="1"/>
    <col min="10243" max="10243" width="58.140625" style="58" customWidth="1"/>
    <col min="10244" max="10244" width="0" style="58" hidden="1" customWidth="1"/>
    <col min="10245" max="10245" width="18.42578125" style="58" bestFit="1" customWidth="1"/>
    <col min="10246" max="10246" width="0" style="58" hidden="1" customWidth="1"/>
    <col min="10247" max="10247" width="18.42578125" style="58" customWidth="1"/>
    <col min="10248" max="10248" width="0" style="58" hidden="1" customWidth="1"/>
    <col min="10249" max="10249" width="9.140625" style="58"/>
    <col min="10250" max="10250" width="0" style="58" hidden="1" customWidth="1"/>
    <col min="10251" max="10254" width="15.140625" style="58" customWidth="1"/>
    <col min="10255" max="10257" width="0" style="58" hidden="1" customWidth="1"/>
    <col min="10258" max="10259" width="10.7109375" style="58" bestFit="1" customWidth="1"/>
    <col min="10260" max="10260" width="10.28515625" style="58" bestFit="1" customWidth="1"/>
    <col min="10261" max="10261" width="11.85546875" style="58" bestFit="1" customWidth="1"/>
    <col min="10262" max="10262" width="15.42578125" style="58" customWidth="1"/>
    <col min="10263" max="10495" width="9.140625" style="58"/>
    <col min="10496" max="10496" width="7" style="58" bestFit="1" customWidth="1"/>
    <col min="10497" max="10497" width="8.42578125" style="58" customWidth="1"/>
    <col min="10498" max="10498" width="5.28515625" style="58" bestFit="1" customWidth="1"/>
    <col min="10499" max="10499" width="58.140625" style="58" customWidth="1"/>
    <col min="10500" max="10500" width="0" style="58" hidden="1" customWidth="1"/>
    <col min="10501" max="10501" width="18.42578125" style="58" bestFit="1" customWidth="1"/>
    <col min="10502" max="10502" width="0" style="58" hidden="1" customWidth="1"/>
    <col min="10503" max="10503" width="18.42578125" style="58" customWidth="1"/>
    <col min="10504" max="10504" width="0" style="58" hidden="1" customWidth="1"/>
    <col min="10505" max="10505" width="9.140625" style="58"/>
    <col min="10506" max="10506" width="0" style="58" hidden="1" customWidth="1"/>
    <col min="10507" max="10510" width="15.140625" style="58" customWidth="1"/>
    <col min="10511" max="10513" width="0" style="58" hidden="1" customWidth="1"/>
    <col min="10514" max="10515" width="10.7109375" style="58" bestFit="1" customWidth="1"/>
    <col min="10516" max="10516" width="10.28515625" style="58" bestFit="1" customWidth="1"/>
    <col min="10517" max="10517" width="11.85546875" style="58" bestFit="1" customWidth="1"/>
    <col min="10518" max="10518" width="15.42578125" style="58" customWidth="1"/>
    <col min="10519" max="10751" width="9.140625" style="58"/>
    <col min="10752" max="10752" width="7" style="58" bestFit="1" customWidth="1"/>
    <col min="10753" max="10753" width="8.42578125" style="58" customWidth="1"/>
    <col min="10754" max="10754" width="5.28515625" style="58" bestFit="1" customWidth="1"/>
    <col min="10755" max="10755" width="58.140625" style="58" customWidth="1"/>
    <col min="10756" max="10756" width="0" style="58" hidden="1" customWidth="1"/>
    <col min="10757" max="10757" width="18.42578125" style="58" bestFit="1" customWidth="1"/>
    <col min="10758" max="10758" width="0" style="58" hidden="1" customWidth="1"/>
    <col min="10759" max="10759" width="18.42578125" style="58" customWidth="1"/>
    <col min="10760" max="10760" width="0" style="58" hidden="1" customWidth="1"/>
    <col min="10761" max="10761" width="9.140625" style="58"/>
    <col min="10762" max="10762" width="0" style="58" hidden="1" customWidth="1"/>
    <col min="10763" max="10766" width="15.140625" style="58" customWidth="1"/>
    <col min="10767" max="10769" width="0" style="58" hidden="1" customWidth="1"/>
    <col min="10770" max="10771" width="10.7109375" style="58" bestFit="1" customWidth="1"/>
    <col min="10772" max="10772" width="10.28515625" style="58" bestFit="1" customWidth="1"/>
    <col min="10773" max="10773" width="11.85546875" style="58" bestFit="1" customWidth="1"/>
    <col min="10774" max="10774" width="15.42578125" style="58" customWidth="1"/>
    <col min="10775" max="11007" width="9.140625" style="58"/>
    <col min="11008" max="11008" width="7" style="58" bestFit="1" customWidth="1"/>
    <col min="11009" max="11009" width="8.42578125" style="58" customWidth="1"/>
    <col min="11010" max="11010" width="5.28515625" style="58" bestFit="1" customWidth="1"/>
    <col min="11011" max="11011" width="58.140625" style="58" customWidth="1"/>
    <col min="11012" max="11012" width="0" style="58" hidden="1" customWidth="1"/>
    <col min="11013" max="11013" width="18.42578125" style="58" bestFit="1" customWidth="1"/>
    <col min="11014" max="11014" width="0" style="58" hidden="1" customWidth="1"/>
    <col min="11015" max="11015" width="18.42578125" style="58" customWidth="1"/>
    <col min="11016" max="11016" width="0" style="58" hidden="1" customWidth="1"/>
    <col min="11017" max="11017" width="9.140625" style="58"/>
    <col min="11018" max="11018" width="0" style="58" hidden="1" customWidth="1"/>
    <col min="11019" max="11022" width="15.140625" style="58" customWidth="1"/>
    <col min="11023" max="11025" width="0" style="58" hidden="1" customWidth="1"/>
    <col min="11026" max="11027" width="10.7109375" style="58" bestFit="1" customWidth="1"/>
    <col min="11028" max="11028" width="10.28515625" style="58" bestFit="1" customWidth="1"/>
    <col min="11029" max="11029" width="11.85546875" style="58" bestFit="1" customWidth="1"/>
    <col min="11030" max="11030" width="15.42578125" style="58" customWidth="1"/>
    <col min="11031" max="11263" width="9.140625" style="58"/>
    <col min="11264" max="11264" width="7" style="58" bestFit="1" customWidth="1"/>
    <col min="11265" max="11265" width="8.42578125" style="58" customWidth="1"/>
    <col min="11266" max="11266" width="5.28515625" style="58" bestFit="1" customWidth="1"/>
    <col min="11267" max="11267" width="58.140625" style="58" customWidth="1"/>
    <col min="11268" max="11268" width="0" style="58" hidden="1" customWidth="1"/>
    <col min="11269" max="11269" width="18.42578125" style="58" bestFit="1" customWidth="1"/>
    <col min="11270" max="11270" width="0" style="58" hidden="1" customWidth="1"/>
    <col min="11271" max="11271" width="18.42578125" style="58" customWidth="1"/>
    <col min="11272" max="11272" width="0" style="58" hidden="1" customWidth="1"/>
    <col min="11273" max="11273" width="9.140625" style="58"/>
    <col min="11274" max="11274" width="0" style="58" hidden="1" customWidth="1"/>
    <col min="11275" max="11278" width="15.140625" style="58" customWidth="1"/>
    <col min="11279" max="11281" width="0" style="58" hidden="1" customWidth="1"/>
    <col min="11282" max="11283" width="10.7109375" style="58" bestFit="1" customWidth="1"/>
    <col min="11284" max="11284" width="10.28515625" style="58" bestFit="1" customWidth="1"/>
    <col min="11285" max="11285" width="11.85546875" style="58" bestFit="1" customWidth="1"/>
    <col min="11286" max="11286" width="15.42578125" style="58" customWidth="1"/>
    <col min="11287" max="11519" width="9.140625" style="58"/>
    <col min="11520" max="11520" width="7" style="58" bestFit="1" customWidth="1"/>
    <col min="11521" max="11521" width="8.42578125" style="58" customWidth="1"/>
    <col min="11522" max="11522" width="5.28515625" style="58" bestFit="1" customWidth="1"/>
    <col min="11523" max="11523" width="58.140625" style="58" customWidth="1"/>
    <col min="11524" max="11524" width="0" style="58" hidden="1" customWidth="1"/>
    <col min="11525" max="11525" width="18.42578125" style="58" bestFit="1" customWidth="1"/>
    <col min="11526" max="11526" width="0" style="58" hidden="1" customWidth="1"/>
    <col min="11527" max="11527" width="18.42578125" style="58" customWidth="1"/>
    <col min="11528" max="11528" width="0" style="58" hidden="1" customWidth="1"/>
    <col min="11529" max="11529" width="9.140625" style="58"/>
    <col min="11530" max="11530" width="0" style="58" hidden="1" customWidth="1"/>
    <col min="11531" max="11534" width="15.140625" style="58" customWidth="1"/>
    <col min="11535" max="11537" width="0" style="58" hidden="1" customWidth="1"/>
    <col min="11538" max="11539" width="10.7109375" style="58" bestFit="1" customWidth="1"/>
    <col min="11540" max="11540" width="10.28515625" style="58" bestFit="1" customWidth="1"/>
    <col min="11541" max="11541" width="11.85546875" style="58" bestFit="1" customWidth="1"/>
    <col min="11542" max="11542" width="15.42578125" style="58" customWidth="1"/>
    <col min="11543" max="11775" width="9.140625" style="58"/>
    <col min="11776" max="11776" width="7" style="58" bestFit="1" customWidth="1"/>
    <col min="11777" max="11777" width="8.42578125" style="58" customWidth="1"/>
    <col min="11778" max="11778" width="5.28515625" style="58" bestFit="1" customWidth="1"/>
    <col min="11779" max="11779" width="58.140625" style="58" customWidth="1"/>
    <col min="11780" max="11780" width="0" style="58" hidden="1" customWidth="1"/>
    <col min="11781" max="11781" width="18.42578125" style="58" bestFit="1" customWidth="1"/>
    <col min="11782" max="11782" width="0" style="58" hidden="1" customWidth="1"/>
    <col min="11783" max="11783" width="18.42578125" style="58" customWidth="1"/>
    <col min="11784" max="11784" width="0" style="58" hidden="1" customWidth="1"/>
    <col min="11785" max="11785" width="9.140625" style="58"/>
    <col min="11786" max="11786" width="0" style="58" hidden="1" customWidth="1"/>
    <col min="11787" max="11790" width="15.140625" style="58" customWidth="1"/>
    <col min="11791" max="11793" width="0" style="58" hidden="1" customWidth="1"/>
    <col min="11794" max="11795" width="10.7109375" style="58" bestFit="1" customWidth="1"/>
    <col min="11796" max="11796" width="10.28515625" style="58" bestFit="1" customWidth="1"/>
    <col min="11797" max="11797" width="11.85546875" style="58" bestFit="1" customWidth="1"/>
    <col min="11798" max="11798" width="15.42578125" style="58" customWidth="1"/>
    <col min="11799" max="12031" width="9.140625" style="58"/>
    <col min="12032" max="12032" width="7" style="58" bestFit="1" customWidth="1"/>
    <col min="12033" max="12033" width="8.42578125" style="58" customWidth="1"/>
    <col min="12034" max="12034" width="5.28515625" style="58" bestFit="1" customWidth="1"/>
    <col min="12035" max="12035" width="58.140625" style="58" customWidth="1"/>
    <col min="12036" max="12036" width="0" style="58" hidden="1" customWidth="1"/>
    <col min="12037" max="12037" width="18.42578125" style="58" bestFit="1" customWidth="1"/>
    <col min="12038" max="12038" width="0" style="58" hidden="1" customWidth="1"/>
    <col min="12039" max="12039" width="18.42578125" style="58" customWidth="1"/>
    <col min="12040" max="12040" width="0" style="58" hidden="1" customWidth="1"/>
    <col min="12041" max="12041" width="9.140625" style="58"/>
    <col min="12042" max="12042" width="0" style="58" hidden="1" customWidth="1"/>
    <col min="12043" max="12046" width="15.140625" style="58" customWidth="1"/>
    <col min="12047" max="12049" width="0" style="58" hidden="1" customWidth="1"/>
    <col min="12050" max="12051" width="10.7109375" style="58" bestFit="1" customWidth="1"/>
    <col min="12052" max="12052" width="10.28515625" style="58" bestFit="1" customWidth="1"/>
    <col min="12053" max="12053" width="11.85546875" style="58" bestFit="1" customWidth="1"/>
    <col min="12054" max="12054" width="15.42578125" style="58" customWidth="1"/>
    <col min="12055" max="12287" width="9.140625" style="58"/>
    <col min="12288" max="12288" width="7" style="58" bestFit="1" customWidth="1"/>
    <col min="12289" max="12289" width="8.42578125" style="58" customWidth="1"/>
    <col min="12290" max="12290" width="5.28515625" style="58" bestFit="1" customWidth="1"/>
    <col min="12291" max="12291" width="58.140625" style="58" customWidth="1"/>
    <col min="12292" max="12292" width="0" style="58" hidden="1" customWidth="1"/>
    <col min="12293" max="12293" width="18.42578125" style="58" bestFit="1" customWidth="1"/>
    <col min="12294" max="12294" width="0" style="58" hidden="1" customWidth="1"/>
    <col min="12295" max="12295" width="18.42578125" style="58" customWidth="1"/>
    <col min="12296" max="12296" width="0" style="58" hidden="1" customWidth="1"/>
    <col min="12297" max="12297" width="9.140625" style="58"/>
    <col min="12298" max="12298" width="0" style="58" hidden="1" customWidth="1"/>
    <col min="12299" max="12302" width="15.140625" style="58" customWidth="1"/>
    <col min="12303" max="12305" width="0" style="58" hidden="1" customWidth="1"/>
    <col min="12306" max="12307" width="10.7109375" style="58" bestFit="1" customWidth="1"/>
    <col min="12308" max="12308" width="10.28515625" style="58" bestFit="1" customWidth="1"/>
    <col min="12309" max="12309" width="11.85546875" style="58" bestFit="1" customWidth="1"/>
    <col min="12310" max="12310" width="15.42578125" style="58" customWidth="1"/>
    <col min="12311" max="12543" width="9.140625" style="58"/>
    <col min="12544" max="12544" width="7" style="58" bestFit="1" customWidth="1"/>
    <col min="12545" max="12545" width="8.42578125" style="58" customWidth="1"/>
    <col min="12546" max="12546" width="5.28515625" style="58" bestFit="1" customWidth="1"/>
    <col min="12547" max="12547" width="58.140625" style="58" customWidth="1"/>
    <col min="12548" max="12548" width="0" style="58" hidden="1" customWidth="1"/>
    <col min="12549" max="12549" width="18.42578125" style="58" bestFit="1" customWidth="1"/>
    <col min="12550" max="12550" width="0" style="58" hidden="1" customWidth="1"/>
    <col min="12551" max="12551" width="18.42578125" style="58" customWidth="1"/>
    <col min="12552" max="12552" width="0" style="58" hidden="1" customWidth="1"/>
    <col min="12553" max="12553" width="9.140625" style="58"/>
    <col min="12554" max="12554" width="0" style="58" hidden="1" customWidth="1"/>
    <col min="12555" max="12558" width="15.140625" style="58" customWidth="1"/>
    <col min="12559" max="12561" width="0" style="58" hidden="1" customWidth="1"/>
    <col min="12562" max="12563" width="10.7109375" style="58" bestFit="1" customWidth="1"/>
    <col min="12564" max="12564" width="10.28515625" style="58" bestFit="1" customWidth="1"/>
    <col min="12565" max="12565" width="11.85546875" style="58" bestFit="1" customWidth="1"/>
    <col min="12566" max="12566" width="15.42578125" style="58" customWidth="1"/>
    <col min="12567" max="12799" width="9.140625" style="58"/>
    <col min="12800" max="12800" width="7" style="58" bestFit="1" customWidth="1"/>
    <col min="12801" max="12801" width="8.42578125" style="58" customWidth="1"/>
    <col min="12802" max="12802" width="5.28515625" style="58" bestFit="1" customWidth="1"/>
    <col min="12803" max="12803" width="58.140625" style="58" customWidth="1"/>
    <col min="12804" max="12804" width="0" style="58" hidden="1" customWidth="1"/>
    <col min="12805" max="12805" width="18.42578125" style="58" bestFit="1" customWidth="1"/>
    <col min="12806" max="12806" width="0" style="58" hidden="1" customWidth="1"/>
    <col min="12807" max="12807" width="18.42578125" style="58" customWidth="1"/>
    <col min="12808" max="12808" width="0" style="58" hidden="1" customWidth="1"/>
    <col min="12809" max="12809" width="9.140625" style="58"/>
    <col min="12810" max="12810" width="0" style="58" hidden="1" customWidth="1"/>
    <col min="12811" max="12814" width="15.140625" style="58" customWidth="1"/>
    <col min="12815" max="12817" width="0" style="58" hidden="1" customWidth="1"/>
    <col min="12818" max="12819" width="10.7109375" style="58" bestFit="1" customWidth="1"/>
    <col min="12820" max="12820" width="10.28515625" style="58" bestFit="1" customWidth="1"/>
    <col min="12821" max="12821" width="11.85546875" style="58" bestFit="1" customWidth="1"/>
    <col min="12822" max="12822" width="15.42578125" style="58" customWidth="1"/>
    <col min="12823" max="13055" width="9.140625" style="58"/>
    <col min="13056" max="13056" width="7" style="58" bestFit="1" customWidth="1"/>
    <col min="13057" max="13057" width="8.42578125" style="58" customWidth="1"/>
    <col min="13058" max="13058" width="5.28515625" style="58" bestFit="1" customWidth="1"/>
    <col min="13059" max="13059" width="58.140625" style="58" customWidth="1"/>
    <col min="13060" max="13060" width="0" style="58" hidden="1" customWidth="1"/>
    <col min="13061" max="13061" width="18.42578125" style="58" bestFit="1" customWidth="1"/>
    <col min="13062" max="13062" width="0" style="58" hidden="1" customWidth="1"/>
    <col min="13063" max="13063" width="18.42578125" style="58" customWidth="1"/>
    <col min="13064" max="13064" width="0" style="58" hidden="1" customWidth="1"/>
    <col min="13065" max="13065" width="9.140625" style="58"/>
    <col min="13066" max="13066" width="0" style="58" hidden="1" customWidth="1"/>
    <col min="13067" max="13070" width="15.140625" style="58" customWidth="1"/>
    <col min="13071" max="13073" width="0" style="58" hidden="1" customWidth="1"/>
    <col min="13074" max="13075" width="10.7109375" style="58" bestFit="1" customWidth="1"/>
    <col min="13076" max="13076" width="10.28515625" style="58" bestFit="1" customWidth="1"/>
    <col min="13077" max="13077" width="11.85546875" style="58" bestFit="1" customWidth="1"/>
    <col min="13078" max="13078" width="15.42578125" style="58" customWidth="1"/>
    <col min="13079" max="13311" width="9.140625" style="58"/>
    <col min="13312" max="13312" width="7" style="58" bestFit="1" customWidth="1"/>
    <col min="13313" max="13313" width="8.42578125" style="58" customWidth="1"/>
    <col min="13314" max="13314" width="5.28515625" style="58" bestFit="1" customWidth="1"/>
    <col min="13315" max="13315" width="58.140625" style="58" customWidth="1"/>
    <col min="13316" max="13316" width="0" style="58" hidden="1" customWidth="1"/>
    <col min="13317" max="13317" width="18.42578125" style="58" bestFit="1" customWidth="1"/>
    <col min="13318" max="13318" width="0" style="58" hidden="1" customWidth="1"/>
    <col min="13319" max="13319" width="18.42578125" style="58" customWidth="1"/>
    <col min="13320" max="13320" width="0" style="58" hidden="1" customWidth="1"/>
    <col min="13321" max="13321" width="9.140625" style="58"/>
    <col min="13322" max="13322" width="0" style="58" hidden="1" customWidth="1"/>
    <col min="13323" max="13326" width="15.140625" style="58" customWidth="1"/>
    <col min="13327" max="13329" width="0" style="58" hidden="1" customWidth="1"/>
    <col min="13330" max="13331" width="10.7109375" style="58" bestFit="1" customWidth="1"/>
    <col min="13332" max="13332" width="10.28515625" style="58" bestFit="1" customWidth="1"/>
    <col min="13333" max="13333" width="11.85546875" style="58" bestFit="1" customWidth="1"/>
    <col min="13334" max="13334" width="15.42578125" style="58" customWidth="1"/>
    <col min="13335" max="13567" width="9.140625" style="58"/>
    <col min="13568" max="13568" width="7" style="58" bestFit="1" customWidth="1"/>
    <col min="13569" max="13569" width="8.42578125" style="58" customWidth="1"/>
    <col min="13570" max="13570" width="5.28515625" style="58" bestFit="1" customWidth="1"/>
    <col min="13571" max="13571" width="58.140625" style="58" customWidth="1"/>
    <col min="13572" max="13572" width="0" style="58" hidden="1" customWidth="1"/>
    <col min="13573" max="13573" width="18.42578125" style="58" bestFit="1" customWidth="1"/>
    <col min="13574" max="13574" width="0" style="58" hidden="1" customWidth="1"/>
    <col min="13575" max="13575" width="18.42578125" style="58" customWidth="1"/>
    <col min="13576" max="13576" width="0" style="58" hidden="1" customWidth="1"/>
    <col min="13577" max="13577" width="9.140625" style="58"/>
    <col min="13578" max="13578" width="0" style="58" hidden="1" customWidth="1"/>
    <col min="13579" max="13582" width="15.140625" style="58" customWidth="1"/>
    <col min="13583" max="13585" width="0" style="58" hidden="1" customWidth="1"/>
    <col min="13586" max="13587" width="10.7109375" style="58" bestFit="1" customWidth="1"/>
    <col min="13588" max="13588" width="10.28515625" style="58" bestFit="1" customWidth="1"/>
    <col min="13589" max="13589" width="11.85546875" style="58" bestFit="1" customWidth="1"/>
    <col min="13590" max="13590" width="15.42578125" style="58" customWidth="1"/>
    <col min="13591" max="13823" width="9.140625" style="58"/>
    <col min="13824" max="13824" width="7" style="58" bestFit="1" customWidth="1"/>
    <col min="13825" max="13825" width="8.42578125" style="58" customWidth="1"/>
    <col min="13826" max="13826" width="5.28515625" style="58" bestFit="1" customWidth="1"/>
    <col min="13827" max="13827" width="58.140625" style="58" customWidth="1"/>
    <col min="13828" max="13828" width="0" style="58" hidden="1" customWidth="1"/>
    <col min="13829" max="13829" width="18.42578125" style="58" bestFit="1" customWidth="1"/>
    <col min="13830" max="13830" width="0" style="58" hidden="1" customWidth="1"/>
    <col min="13831" max="13831" width="18.42578125" style="58" customWidth="1"/>
    <col min="13832" max="13832" width="0" style="58" hidden="1" customWidth="1"/>
    <col min="13833" max="13833" width="9.140625" style="58"/>
    <col min="13834" max="13834" width="0" style="58" hidden="1" customWidth="1"/>
    <col min="13835" max="13838" width="15.140625" style="58" customWidth="1"/>
    <col min="13839" max="13841" width="0" style="58" hidden="1" customWidth="1"/>
    <col min="13842" max="13843" width="10.7109375" style="58" bestFit="1" customWidth="1"/>
    <col min="13844" max="13844" width="10.28515625" style="58" bestFit="1" customWidth="1"/>
    <col min="13845" max="13845" width="11.85546875" style="58" bestFit="1" customWidth="1"/>
    <col min="13846" max="13846" width="15.42578125" style="58" customWidth="1"/>
    <col min="13847" max="14079" width="9.140625" style="58"/>
    <col min="14080" max="14080" width="7" style="58" bestFit="1" customWidth="1"/>
    <col min="14081" max="14081" width="8.42578125" style="58" customWidth="1"/>
    <col min="14082" max="14082" width="5.28515625" style="58" bestFit="1" customWidth="1"/>
    <col min="14083" max="14083" width="58.140625" style="58" customWidth="1"/>
    <col min="14084" max="14084" width="0" style="58" hidden="1" customWidth="1"/>
    <col min="14085" max="14085" width="18.42578125" style="58" bestFit="1" customWidth="1"/>
    <col min="14086" max="14086" width="0" style="58" hidden="1" customWidth="1"/>
    <col min="14087" max="14087" width="18.42578125" style="58" customWidth="1"/>
    <col min="14088" max="14088" width="0" style="58" hidden="1" customWidth="1"/>
    <col min="14089" max="14089" width="9.140625" style="58"/>
    <col min="14090" max="14090" width="0" style="58" hidden="1" customWidth="1"/>
    <col min="14091" max="14094" width="15.140625" style="58" customWidth="1"/>
    <col min="14095" max="14097" width="0" style="58" hidden="1" customWidth="1"/>
    <col min="14098" max="14099" width="10.7109375" style="58" bestFit="1" customWidth="1"/>
    <col min="14100" max="14100" width="10.28515625" style="58" bestFit="1" customWidth="1"/>
    <col min="14101" max="14101" width="11.85546875" style="58" bestFit="1" customWidth="1"/>
    <col min="14102" max="14102" width="15.42578125" style="58" customWidth="1"/>
    <col min="14103" max="14335" width="9.140625" style="58"/>
    <col min="14336" max="14336" width="7" style="58" bestFit="1" customWidth="1"/>
    <col min="14337" max="14337" width="8.42578125" style="58" customWidth="1"/>
    <col min="14338" max="14338" width="5.28515625" style="58" bestFit="1" customWidth="1"/>
    <col min="14339" max="14339" width="58.140625" style="58" customWidth="1"/>
    <col min="14340" max="14340" width="0" style="58" hidden="1" customWidth="1"/>
    <col min="14341" max="14341" width="18.42578125" style="58" bestFit="1" customWidth="1"/>
    <col min="14342" max="14342" width="0" style="58" hidden="1" customWidth="1"/>
    <col min="14343" max="14343" width="18.42578125" style="58" customWidth="1"/>
    <col min="14344" max="14344" width="0" style="58" hidden="1" customWidth="1"/>
    <col min="14345" max="14345" width="9.140625" style="58"/>
    <col min="14346" max="14346" width="0" style="58" hidden="1" customWidth="1"/>
    <col min="14347" max="14350" width="15.140625" style="58" customWidth="1"/>
    <col min="14351" max="14353" width="0" style="58" hidden="1" customWidth="1"/>
    <col min="14354" max="14355" width="10.7109375" style="58" bestFit="1" customWidth="1"/>
    <col min="14356" max="14356" width="10.28515625" style="58" bestFit="1" customWidth="1"/>
    <col min="14357" max="14357" width="11.85546875" style="58" bestFit="1" customWidth="1"/>
    <col min="14358" max="14358" width="15.42578125" style="58" customWidth="1"/>
    <col min="14359" max="14591" width="9.140625" style="58"/>
    <col min="14592" max="14592" width="7" style="58" bestFit="1" customWidth="1"/>
    <col min="14593" max="14593" width="8.42578125" style="58" customWidth="1"/>
    <col min="14594" max="14594" width="5.28515625" style="58" bestFit="1" customWidth="1"/>
    <col min="14595" max="14595" width="58.140625" style="58" customWidth="1"/>
    <col min="14596" max="14596" width="0" style="58" hidden="1" customWidth="1"/>
    <col min="14597" max="14597" width="18.42578125" style="58" bestFit="1" customWidth="1"/>
    <col min="14598" max="14598" width="0" style="58" hidden="1" customWidth="1"/>
    <col min="14599" max="14599" width="18.42578125" style="58" customWidth="1"/>
    <col min="14600" max="14600" width="0" style="58" hidden="1" customWidth="1"/>
    <col min="14601" max="14601" width="9.140625" style="58"/>
    <col min="14602" max="14602" width="0" style="58" hidden="1" customWidth="1"/>
    <col min="14603" max="14606" width="15.140625" style="58" customWidth="1"/>
    <col min="14607" max="14609" width="0" style="58" hidden="1" customWidth="1"/>
    <col min="14610" max="14611" width="10.7109375" style="58" bestFit="1" customWidth="1"/>
    <col min="14612" max="14612" width="10.28515625" style="58" bestFit="1" customWidth="1"/>
    <col min="14613" max="14613" width="11.85546875" style="58" bestFit="1" customWidth="1"/>
    <col min="14614" max="14614" width="15.42578125" style="58" customWidth="1"/>
    <col min="14615" max="14847" width="9.140625" style="58"/>
    <col min="14848" max="14848" width="7" style="58" bestFit="1" customWidth="1"/>
    <col min="14849" max="14849" width="8.42578125" style="58" customWidth="1"/>
    <col min="14850" max="14850" width="5.28515625" style="58" bestFit="1" customWidth="1"/>
    <col min="14851" max="14851" width="58.140625" style="58" customWidth="1"/>
    <col min="14852" max="14852" width="0" style="58" hidden="1" customWidth="1"/>
    <col min="14853" max="14853" width="18.42578125" style="58" bestFit="1" customWidth="1"/>
    <col min="14854" max="14854" width="0" style="58" hidden="1" customWidth="1"/>
    <col min="14855" max="14855" width="18.42578125" style="58" customWidth="1"/>
    <col min="14856" max="14856" width="0" style="58" hidden="1" customWidth="1"/>
    <col min="14857" max="14857" width="9.140625" style="58"/>
    <col min="14858" max="14858" width="0" style="58" hidden="1" customWidth="1"/>
    <col min="14859" max="14862" width="15.140625" style="58" customWidth="1"/>
    <col min="14863" max="14865" width="0" style="58" hidden="1" customWidth="1"/>
    <col min="14866" max="14867" width="10.7109375" style="58" bestFit="1" customWidth="1"/>
    <col min="14868" max="14868" width="10.28515625" style="58" bestFit="1" customWidth="1"/>
    <col min="14869" max="14869" width="11.85546875" style="58" bestFit="1" customWidth="1"/>
    <col min="14870" max="14870" width="15.42578125" style="58" customWidth="1"/>
    <col min="14871" max="15103" width="9.140625" style="58"/>
    <col min="15104" max="15104" width="7" style="58" bestFit="1" customWidth="1"/>
    <col min="15105" max="15105" width="8.42578125" style="58" customWidth="1"/>
    <col min="15106" max="15106" width="5.28515625" style="58" bestFit="1" customWidth="1"/>
    <col min="15107" max="15107" width="58.140625" style="58" customWidth="1"/>
    <col min="15108" max="15108" width="0" style="58" hidden="1" customWidth="1"/>
    <col min="15109" max="15109" width="18.42578125" style="58" bestFit="1" customWidth="1"/>
    <col min="15110" max="15110" width="0" style="58" hidden="1" customWidth="1"/>
    <col min="15111" max="15111" width="18.42578125" style="58" customWidth="1"/>
    <col min="15112" max="15112" width="0" style="58" hidden="1" customWidth="1"/>
    <col min="15113" max="15113" width="9.140625" style="58"/>
    <col min="15114" max="15114" width="0" style="58" hidden="1" customWidth="1"/>
    <col min="15115" max="15118" width="15.140625" style="58" customWidth="1"/>
    <col min="15119" max="15121" width="0" style="58" hidden="1" customWidth="1"/>
    <col min="15122" max="15123" width="10.7109375" style="58" bestFit="1" customWidth="1"/>
    <col min="15124" max="15124" width="10.28515625" style="58" bestFit="1" customWidth="1"/>
    <col min="15125" max="15125" width="11.85546875" style="58" bestFit="1" customWidth="1"/>
    <col min="15126" max="15126" width="15.42578125" style="58" customWidth="1"/>
    <col min="15127" max="15359" width="9.140625" style="58"/>
    <col min="15360" max="15360" width="7" style="58" bestFit="1" customWidth="1"/>
    <col min="15361" max="15361" width="8.42578125" style="58" customWidth="1"/>
    <col min="15362" max="15362" width="5.28515625" style="58" bestFit="1" customWidth="1"/>
    <col min="15363" max="15363" width="58.140625" style="58" customWidth="1"/>
    <col min="15364" max="15364" width="0" style="58" hidden="1" customWidth="1"/>
    <col min="15365" max="15365" width="18.42578125" style="58" bestFit="1" customWidth="1"/>
    <col min="15366" max="15366" width="0" style="58" hidden="1" customWidth="1"/>
    <col min="15367" max="15367" width="18.42578125" style="58" customWidth="1"/>
    <col min="15368" max="15368" width="0" style="58" hidden="1" customWidth="1"/>
    <col min="15369" max="15369" width="9.140625" style="58"/>
    <col min="15370" max="15370" width="0" style="58" hidden="1" customWidth="1"/>
    <col min="15371" max="15374" width="15.140625" style="58" customWidth="1"/>
    <col min="15375" max="15377" width="0" style="58" hidden="1" customWidth="1"/>
    <col min="15378" max="15379" width="10.7109375" style="58" bestFit="1" customWidth="1"/>
    <col min="15380" max="15380" width="10.28515625" style="58" bestFit="1" customWidth="1"/>
    <col min="15381" max="15381" width="11.85546875" style="58" bestFit="1" customWidth="1"/>
    <col min="15382" max="15382" width="15.42578125" style="58" customWidth="1"/>
    <col min="15383" max="15615" width="9.140625" style="58"/>
    <col min="15616" max="15616" width="7" style="58" bestFit="1" customWidth="1"/>
    <col min="15617" max="15617" width="8.42578125" style="58" customWidth="1"/>
    <col min="15618" max="15618" width="5.28515625" style="58" bestFit="1" customWidth="1"/>
    <col min="15619" max="15619" width="58.140625" style="58" customWidth="1"/>
    <col min="15620" max="15620" width="0" style="58" hidden="1" customWidth="1"/>
    <col min="15621" max="15621" width="18.42578125" style="58" bestFit="1" customWidth="1"/>
    <col min="15622" max="15622" width="0" style="58" hidden="1" customWidth="1"/>
    <col min="15623" max="15623" width="18.42578125" style="58" customWidth="1"/>
    <col min="15624" max="15624" width="0" style="58" hidden="1" customWidth="1"/>
    <col min="15625" max="15625" width="9.140625" style="58"/>
    <col min="15626" max="15626" width="0" style="58" hidden="1" customWidth="1"/>
    <col min="15627" max="15630" width="15.140625" style="58" customWidth="1"/>
    <col min="15631" max="15633" width="0" style="58" hidden="1" customWidth="1"/>
    <col min="15634" max="15635" width="10.7109375" style="58" bestFit="1" customWidth="1"/>
    <col min="15636" max="15636" width="10.28515625" style="58" bestFit="1" customWidth="1"/>
    <col min="15637" max="15637" width="11.85546875" style="58" bestFit="1" customWidth="1"/>
    <col min="15638" max="15638" width="15.42578125" style="58" customWidth="1"/>
    <col min="15639" max="15871" width="9.140625" style="58"/>
    <col min="15872" max="15872" width="7" style="58" bestFit="1" customWidth="1"/>
    <col min="15873" max="15873" width="8.42578125" style="58" customWidth="1"/>
    <col min="15874" max="15874" width="5.28515625" style="58" bestFit="1" customWidth="1"/>
    <col min="15875" max="15875" width="58.140625" style="58" customWidth="1"/>
    <col min="15876" max="15876" width="0" style="58" hidden="1" customWidth="1"/>
    <col min="15877" max="15877" width="18.42578125" style="58" bestFit="1" customWidth="1"/>
    <col min="15878" max="15878" width="0" style="58" hidden="1" customWidth="1"/>
    <col min="15879" max="15879" width="18.42578125" style="58" customWidth="1"/>
    <col min="15880" max="15880" width="0" style="58" hidden="1" customWidth="1"/>
    <col min="15881" max="15881" width="9.140625" style="58"/>
    <col min="15882" max="15882" width="0" style="58" hidden="1" customWidth="1"/>
    <col min="15883" max="15886" width="15.140625" style="58" customWidth="1"/>
    <col min="15887" max="15889" width="0" style="58" hidden="1" customWidth="1"/>
    <col min="15890" max="15891" width="10.7109375" style="58" bestFit="1" customWidth="1"/>
    <col min="15892" max="15892" width="10.28515625" style="58" bestFit="1" customWidth="1"/>
    <col min="15893" max="15893" width="11.85546875" style="58" bestFit="1" customWidth="1"/>
    <col min="15894" max="15894" width="15.42578125" style="58" customWidth="1"/>
    <col min="15895" max="16127" width="9.140625" style="58"/>
    <col min="16128" max="16128" width="7" style="58" bestFit="1" customWidth="1"/>
    <col min="16129" max="16129" width="8.42578125" style="58" customWidth="1"/>
    <col min="16130" max="16130" width="5.28515625" style="58" bestFit="1" customWidth="1"/>
    <col min="16131" max="16131" width="58.140625" style="58" customWidth="1"/>
    <col min="16132" max="16132" width="0" style="58" hidden="1" customWidth="1"/>
    <col min="16133" max="16133" width="18.42578125" style="58" bestFit="1" customWidth="1"/>
    <col min="16134" max="16134" width="0" style="58" hidden="1" customWidth="1"/>
    <col min="16135" max="16135" width="18.42578125" style="58" customWidth="1"/>
    <col min="16136" max="16136" width="0" style="58" hidden="1" customWidth="1"/>
    <col min="16137" max="16137" width="9.140625" style="58"/>
    <col min="16138" max="16138" width="0" style="58" hidden="1" customWidth="1"/>
    <col min="16139" max="16142" width="15.140625" style="58" customWidth="1"/>
    <col min="16143" max="16145" width="0" style="58" hidden="1" customWidth="1"/>
    <col min="16146" max="16147" width="10.7109375" style="58" bestFit="1" customWidth="1"/>
    <col min="16148" max="16148" width="10.28515625" style="58" bestFit="1" customWidth="1"/>
    <col min="16149" max="16149" width="11.85546875" style="58" bestFit="1" customWidth="1"/>
    <col min="16150" max="16150" width="15.42578125" style="58" customWidth="1"/>
    <col min="16151" max="16384" width="9.140625" style="58"/>
  </cols>
  <sheetData>
    <row r="1" spans="1:17" ht="31.5" customHeight="1" x14ac:dyDescent="0.25">
      <c r="A1" s="818" t="s">
        <v>0</v>
      </c>
      <c r="B1" s="818"/>
      <c r="C1" s="818"/>
      <c r="D1" s="818"/>
      <c r="E1" s="818"/>
      <c r="F1" s="818"/>
      <c r="G1" s="818"/>
      <c r="H1" s="818"/>
      <c r="I1" s="818"/>
      <c r="J1" s="30"/>
    </row>
    <row r="2" spans="1:17" ht="31.5" customHeight="1" x14ac:dyDescent="0.25">
      <c r="A2" s="818" t="s">
        <v>276</v>
      </c>
      <c r="B2" s="818"/>
      <c r="C2" s="818"/>
      <c r="D2" s="818"/>
      <c r="E2" s="818"/>
      <c r="F2" s="818"/>
      <c r="G2" s="818"/>
      <c r="H2" s="818"/>
      <c r="I2" s="818"/>
      <c r="J2" s="30"/>
    </row>
    <row r="3" spans="1:17" ht="31.5" customHeight="1" x14ac:dyDescent="0.25">
      <c r="A3" s="818" t="s">
        <v>379</v>
      </c>
      <c r="B3" s="818"/>
      <c r="C3" s="818"/>
      <c r="D3" s="818"/>
      <c r="E3" s="818"/>
      <c r="F3" s="818"/>
      <c r="G3" s="818"/>
      <c r="H3" s="818"/>
      <c r="I3" s="818"/>
      <c r="J3" s="30"/>
    </row>
    <row r="4" spans="1:17" s="62" customFormat="1" x14ac:dyDescent="0.25">
      <c r="A4" s="59"/>
      <c r="B4" s="60"/>
      <c r="C4" s="60"/>
      <c r="D4" s="60"/>
      <c r="E4" s="60"/>
      <c r="F4" s="61"/>
      <c r="G4" s="61"/>
      <c r="H4" s="60"/>
      <c r="I4" s="60"/>
      <c r="J4" s="60"/>
      <c r="K4" s="58"/>
      <c r="L4" s="58"/>
      <c r="M4" s="58"/>
      <c r="N4" s="58"/>
      <c r="O4" s="58"/>
      <c r="P4" s="58"/>
      <c r="Q4" s="58"/>
    </row>
    <row r="5" spans="1:17" s="65" customFormat="1" ht="15.75" customHeight="1" x14ac:dyDescent="0.25">
      <c r="A5" s="812" t="s">
        <v>82</v>
      </c>
      <c r="B5" s="813"/>
      <c r="C5" s="813"/>
      <c r="D5" s="813"/>
      <c r="E5" s="813"/>
      <c r="F5" s="813"/>
      <c r="G5" s="813"/>
      <c r="H5" s="813"/>
      <c r="I5" s="813"/>
      <c r="J5" s="63"/>
      <c r="K5" s="64"/>
      <c r="L5" s="64"/>
      <c r="M5" s="64"/>
      <c r="N5" s="64"/>
      <c r="O5" s="64"/>
      <c r="P5" s="64"/>
      <c r="Q5" s="64"/>
    </row>
    <row r="6" spans="1:17" s="62" customFormat="1" ht="78.75" customHeight="1" x14ac:dyDescent="0.25">
      <c r="A6" s="66" t="s">
        <v>3</v>
      </c>
      <c r="B6" s="66" t="s">
        <v>4</v>
      </c>
      <c r="C6" s="67" t="s">
        <v>5</v>
      </c>
      <c r="D6" s="68" t="s">
        <v>6</v>
      </c>
      <c r="E6" s="66" t="s">
        <v>622</v>
      </c>
      <c r="F6" s="32" t="s">
        <v>603</v>
      </c>
      <c r="G6" s="33" t="s">
        <v>604</v>
      </c>
      <c r="H6" s="34" t="s">
        <v>623</v>
      </c>
      <c r="I6" s="35" t="s">
        <v>544</v>
      </c>
      <c r="J6" s="35" t="s">
        <v>544</v>
      </c>
      <c r="K6" s="69"/>
      <c r="L6" s="58"/>
      <c r="M6" s="58"/>
      <c r="N6" s="58"/>
      <c r="O6" s="58"/>
      <c r="P6" s="58"/>
      <c r="Q6" s="58"/>
    </row>
    <row r="7" spans="1:17" s="62" customFormat="1" x14ac:dyDescent="0.25">
      <c r="A7" s="814">
        <v>1</v>
      </c>
      <c r="B7" s="814"/>
      <c r="C7" s="814"/>
      <c r="D7" s="814"/>
      <c r="E7" s="36">
        <v>2</v>
      </c>
      <c r="F7" s="37">
        <v>3</v>
      </c>
      <c r="G7" s="37">
        <v>4</v>
      </c>
      <c r="H7" s="38">
        <v>5</v>
      </c>
      <c r="I7" s="38" t="s">
        <v>543</v>
      </c>
      <c r="J7" s="38" t="s">
        <v>548</v>
      </c>
      <c r="K7" s="58"/>
      <c r="L7" s="58"/>
      <c r="M7" s="58"/>
      <c r="N7" s="58"/>
      <c r="O7" s="58"/>
      <c r="P7" s="58"/>
      <c r="Q7" s="58"/>
    </row>
    <row r="8" spans="1:17" s="62" customFormat="1" x14ac:dyDescent="0.25">
      <c r="A8" s="70">
        <v>3</v>
      </c>
      <c r="B8" s="71"/>
      <c r="C8" s="71"/>
      <c r="D8" s="72" t="s">
        <v>87</v>
      </c>
      <c r="E8" s="73">
        <f>E11+E100+(E290-0.01)+E396+E468+E493+E518</f>
        <v>5084825.8705000011</v>
      </c>
      <c r="F8" s="73">
        <f>F11+F100+F290+F396+F468+F493+F518</f>
        <v>4299508.6900000004</v>
      </c>
      <c r="G8" s="73">
        <f>G11+G100+G290+G396+G468+G493+G518</f>
        <v>4337963.4800000004</v>
      </c>
      <c r="H8" s="73">
        <f>H11+H100+H290+H396+H468+H493+H518</f>
        <v>4919030.6399999997</v>
      </c>
      <c r="I8" s="604">
        <f>IFERROR(H8/F8*100,H8)</f>
        <v>114.40913357009634</v>
      </c>
      <c r="J8" s="604">
        <f>IFERROR(H8/G8*100,H8)</f>
        <v>113.39492973324892</v>
      </c>
      <c r="K8" s="74"/>
      <c r="L8" s="74"/>
      <c r="M8" s="58"/>
      <c r="N8" s="58"/>
      <c r="O8" s="58"/>
      <c r="P8" s="58"/>
      <c r="Q8" s="58"/>
    </row>
    <row r="9" spans="1:17" s="62" customFormat="1" x14ac:dyDescent="0.25">
      <c r="A9" s="70">
        <v>4</v>
      </c>
      <c r="B9" s="71"/>
      <c r="C9" s="71"/>
      <c r="D9" s="75" t="s">
        <v>174</v>
      </c>
      <c r="E9" s="73">
        <f>E83+E255+E374+E459+E506+E529</f>
        <v>846874.29</v>
      </c>
      <c r="F9" s="73">
        <f>F83+F255+F374+F459+F506+F529</f>
        <v>426425.88</v>
      </c>
      <c r="G9" s="73">
        <f>G83+G255+G374+G459+G488+G506+G529</f>
        <v>425978.17000000004</v>
      </c>
      <c r="H9" s="73">
        <f>H83+H255+H374+H459+H488+H506+H529</f>
        <v>269800.91000000003</v>
      </c>
      <c r="I9" s="604">
        <f t="shared" ref="I9:I73" si="0">IFERROR(H9/F9*100,H9)</f>
        <v>63.270294476498478</v>
      </c>
      <c r="J9" s="604">
        <f t="shared" ref="J9:J73" si="1">IFERROR(H9/G9*100,H9)</f>
        <v>63.336792587282119</v>
      </c>
      <c r="K9" s="74"/>
      <c r="L9" s="58"/>
      <c r="M9" s="58"/>
      <c r="N9" s="58"/>
      <c r="O9" s="58"/>
      <c r="P9" s="58"/>
      <c r="Q9" s="58"/>
    </row>
    <row r="10" spans="1:17" s="62" customFormat="1" x14ac:dyDescent="0.25">
      <c r="A10" s="76"/>
      <c r="B10" s="76"/>
      <c r="C10" s="76"/>
      <c r="D10" s="77" t="s">
        <v>304</v>
      </c>
      <c r="E10" s="78"/>
      <c r="F10" s="78"/>
      <c r="G10" s="78"/>
      <c r="H10" s="78"/>
      <c r="I10" s="605"/>
      <c r="J10" s="605">
        <f t="shared" si="1"/>
        <v>0</v>
      </c>
      <c r="K10" s="74"/>
      <c r="L10" s="58"/>
      <c r="M10" s="58"/>
      <c r="N10" s="58"/>
      <c r="O10" s="58"/>
      <c r="P10" s="58"/>
      <c r="Q10" s="58"/>
    </row>
    <row r="11" spans="1:17" s="62" customFormat="1" x14ac:dyDescent="0.25">
      <c r="A11" s="79" t="s">
        <v>86</v>
      </c>
      <c r="B11" s="79"/>
      <c r="C11" s="80"/>
      <c r="D11" s="72" t="s">
        <v>87</v>
      </c>
      <c r="E11" s="81">
        <f>E12+E23</f>
        <v>141650.91999999998</v>
      </c>
      <c r="F11" s="81">
        <f>F12+F23</f>
        <v>103638.02</v>
      </c>
      <c r="G11" s="81">
        <f>G12+G23</f>
        <v>342988.02</v>
      </c>
      <c r="H11" s="81">
        <f>H12+H23</f>
        <v>352987.51</v>
      </c>
      <c r="I11" s="606">
        <f t="shared" si="0"/>
        <v>340.59653976407498</v>
      </c>
      <c r="J11" s="606">
        <f t="shared" si="1"/>
        <v>102.91540503368017</v>
      </c>
      <c r="K11" s="58"/>
      <c r="L11" s="58"/>
      <c r="M11" s="58"/>
      <c r="N11" s="58"/>
      <c r="O11" s="58"/>
      <c r="P11" s="58"/>
      <c r="Q11" s="58"/>
    </row>
    <row r="12" spans="1:17" s="62" customFormat="1" x14ac:dyDescent="0.25">
      <c r="A12" s="82"/>
      <c r="B12" s="83">
        <v>31</v>
      </c>
      <c r="C12" s="84"/>
      <c r="D12" s="85" t="s">
        <v>88</v>
      </c>
      <c r="E12" s="86">
        <f>E13+E16+E20</f>
        <v>10163.299999999999</v>
      </c>
      <c r="F12" s="86">
        <f t="shared" ref="F12:H12" si="2">F13+F16+F20</f>
        <v>6978.0199999999995</v>
      </c>
      <c r="G12" s="86">
        <f t="shared" si="2"/>
        <v>46978.01999999999</v>
      </c>
      <c r="H12" s="86">
        <f t="shared" si="2"/>
        <v>54508.2</v>
      </c>
      <c r="I12" s="587">
        <f t="shared" si="0"/>
        <v>781.14135528416375</v>
      </c>
      <c r="J12" s="587">
        <f t="shared" si="1"/>
        <v>116.02915576263113</v>
      </c>
      <c r="K12" s="58"/>
      <c r="L12" s="58"/>
      <c r="M12" s="58"/>
      <c r="N12" s="58"/>
      <c r="O12" s="58"/>
      <c r="P12" s="58"/>
      <c r="Q12" s="58"/>
    </row>
    <row r="13" spans="1:17" s="65" customFormat="1" x14ac:dyDescent="0.25">
      <c r="A13" s="82"/>
      <c r="B13" s="87">
        <v>311</v>
      </c>
      <c r="C13" s="57"/>
      <c r="D13" s="82" t="s">
        <v>89</v>
      </c>
      <c r="E13" s="52">
        <f t="shared" ref="E13:G14" si="3">SUM(E14)</f>
        <v>8723.89</v>
      </c>
      <c r="F13" s="52">
        <f t="shared" si="3"/>
        <v>5989.73</v>
      </c>
      <c r="G13" s="52">
        <f t="shared" si="3"/>
        <v>5989.73</v>
      </c>
      <c r="H13" s="52">
        <f t="shared" ref="H13:H14" si="4">SUM(H14)</f>
        <v>3869.6800000000003</v>
      </c>
      <c r="I13" s="591">
        <f t="shared" si="0"/>
        <v>64.605249318416696</v>
      </c>
      <c r="J13" s="591">
        <f t="shared" si="1"/>
        <v>64.605249318416696</v>
      </c>
      <c r="K13" s="64"/>
      <c r="L13" s="64"/>
      <c r="M13" s="64"/>
      <c r="N13" s="64"/>
      <c r="O13" s="64"/>
      <c r="P13" s="64"/>
      <c r="Q13" s="64"/>
    </row>
    <row r="14" spans="1:17" s="65" customFormat="1" ht="14.25" x14ac:dyDescent="0.25">
      <c r="A14" s="82"/>
      <c r="B14" s="87">
        <v>3111</v>
      </c>
      <c r="C14" s="82"/>
      <c r="D14" s="82" t="s">
        <v>90</v>
      </c>
      <c r="E14" s="52">
        <f t="shared" si="3"/>
        <v>8723.89</v>
      </c>
      <c r="F14" s="52">
        <f t="shared" si="3"/>
        <v>5989.73</v>
      </c>
      <c r="G14" s="52">
        <f t="shared" si="3"/>
        <v>5989.73</v>
      </c>
      <c r="H14" s="52">
        <f t="shared" si="4"/>
        <v>3869.6800000000003</v>
      </c>
      <c r="I14" s="591">
        <f t="shared" si="0"/>
        <v>64.605249318416696</v>
      </c>
      <c r="J14" s="591">
        <f t="shared" si="1"/>
        <v>64.605249318416696</v>
      </c>
      <c r="K14" s="64"/>
      <c r="L14" s="64"/>
      <c r="M14" s="64"/>
      <c r="N14" s="64"/>
      <c r="O14" s="64"/>
      <c r="P14" s="64"/>
      <c r="Q14" s="64"/>
    </row>
    <row r="15" spans="1:17" s="91" customFormat="1" x14ac:dyDescent="0.25">
      <c r="A15" s="57"/>
      <c r="B15" s="88" t="s">
        <v>465</v>
      </c>
      <c r="C15" s="57"/>
      <c r="D15" s="57" t="s">
        <v>90</v>
      </c>
      <c r="E15" s="89">
        <f>'Rekapitulacija Posebni dio'!C549+'Rekapitulacija Posebni dio'!C568+'Rekapitulacija Posebni dio'!C590</f>
        <v>8723.89</v>
      </c>
      <c r="F15" s="89">
        <f>'Rekapitulacija Posebni dio'!D549+'Rekapitulacija Posebni dio'!D568+'Rekapitulacija Posebni dio'!D590</f>
        <v>5989.73</v>
      </c>
      <c r="G15" s="89">
        <f>'Rekapitulacija Posebni dio'!E549+'Rekapitulacija Posebni dio'!E568+'Rekapitulacija Posebni dio'!E590</f>
        <v>5989.73</v>
      </c>
      <c r="H15" s="89">
        <f>'Rekapitulacija Posebni dio'!F549+'Rekapitulacija Posebni dio'!F568+'Rekapitulacija Posebni dio'!F590</f>
        <v>3869.6800000000003</v>
      </c>
      <c r="I15" s="585">
        <f t="shared" si="0"/>
        <v>64.605249318416696</v>
      </c>
      <c r="J15" s="585">
        <f t="shared" si="1"/>
        <v>64.605249318416696</v>
      </c>
      <c r="K15" s="90"/>
      <c r="L15" s="90"/>
      <c r="M15" s="90"/>
      <c r="N15" s="90"/>
      <c r="O15" s="90"/>
      <c r="P15" s="90"/>
      <c r="Q15" s="90"/>
    </row>
    <row r="16" spans="1:17" s="91" customFormat="1" x14ac:dyDescent="0.25">
      <c r="A16" s="57"/>
      <c r="B16" s="87" t="s">
        <v>97</v>
      </c>
      <c r="C16" s="82"/>
      <c r="D16" s="82" t="s">
        <v>98</v>
      </c>
      <c r="E16" s="52">
        <f>SUM(E17)</f>
        <v>0</v>
      </c>
      <c r="F16" s="52">
        <f>SUM(F17)</f>
        <v>0</v>
      </c>
      <c r="G16" s="52">
        <f>SUM(G17)</f>
        <v>0</v>
      </c>
      <c r="H16" s="52">
        <f t="shared" ref="H16" si="5">SUM(H17)</f>
        <v>10000</v>
      </c>
      <c r="I16" s="591">
        <f t="shared" si="0"/>
        <v>10000</v>
      </c>
      <c r="J16" s="591">
        <f t="shared" si="1"/>
        <v>10000</v>
      </c>
      <c r="K16" s="90"/>
      <c r="L16" s="90"/>
      <c r="M16" s="90"/>
      <c r="N16" s="90"/>
      <c r="O16" s="90"/>
      <c r="P16" s="90"/>
      <c r="Q16" s="90"/>
    </row>
    <row r="17" spans="1:17" s="91" customFormat="1" x14ac:dyDescent="0.25">
      <c r="A17" s="57"/>
      <c r="B17" s="87" t="s">
        <v>99</v>
      </c>
      <c r="C17" s="82"/>
      <c r="D17" s="82" t="s">
        <v>98</v>
      </c>
      <c r="E17" s="52">
        <f>SUM(E18:E19)</f>
        <v>0</v>
      </c>
      <c r="F17" s="52">
        <f t="shared" ref="F17:H17" si="6">SUM(F18:F19)</f>
        <v>0</v>
      </c>
      <c r="G17" s="52">
        <f t="shared" si="6"/>
        <v>0</v>
      </c>
      <c r="H17" s="52">
        <f t="shared" si="6"/>
        <v>10000</v>
      </c>
      <c r="I17" s="591">
        <f t="shared" si="0"/>
        <v>10000</v>
      </c>
      <c r="J17" s="591">
        <f t="shared" si="1"/>
        <v>10000</v>
      </c>
      <c r="K17" s="90"/>
      <c r="L17" s="90"/>
      <c r="M17" s="90"/>
      <c r="N17" s="90"/>
      <c r="O17" s="90"/>
      <c r="P17" s="90"/>
      <c r="Q17" s="90"/>
    </row>
    <row r="18" spans="1:17" s="91" customFormat="1" x14ac:dyDescent="0.25">
      <c r="A18" s="57"/>
      <c r="B18" s="88" t="s">
        <v>469</v>
      </c>
      <c r="C18" s="57"/>
      <c r="D18" s="42" t="s">
        <v>382</v>
      </c>
      <c r="E18" s="89">
        <f>'Rekapitulacija Posebni dio'!C496</f>
        <v>0</v>
      </c>
      <c r="F18" s="89">
        <f>'Rekapitulacija Posebni dio'!D496</f>
        <v>0</v>
      </c>
      <c r="G18" s="89">
        <f>'Rekapitulacija Posebni dio'!E496</f>
        <v>0</v>
      </c>
      <c r="H18" s="89">
        <f>'Rekapitulacija Posebni dio'!F496</f>
        <v>958.56000000000006</v>
      </c>
      <c r="I18" s="585">
        <f t="shared" si="0"/>
        <v>958.56000000000006</v>
      </c>
      <c r="J18" s="585">
        <f t="shared" si="1"/>
        <v>958.56000000000006</v>
      </c>
      <c r="K18" s="90"/>
      <c r="L18" s="90"/>
      <c r="M18" s="90"/>
      <c r="N18" s="90"/>
      <c r="O18" s="90"/>
      <c r="P18" s="90"/>
      <c r="Q18" s="90"/>
    </row>
    <row r="19" spans="1:17" s="91" customFormat="1" x14ac:dyDescent="0.25">
      <c r="A19" s="57"/>
      <c r="B19" s="88" t="s">
        <v>470</v>
      </c>
      <c r="C19" s="82"/>
      <c r="D19" s="42" t="s">
        <v>384</v>
      </c>
      <c r="E19" s="89">
        <f>'Rekapitulacija Posebni dio'!C497</f>
        <v>0</v>
      </c>
      <c r="F19" s="89">
        <f>'Rekapitulacija Posebni dio'!D497</f>
        <v>0</v>
      </c>
      <c r="G19" s="89">
        <f>'Rekapitulacija Posebni dio'!E497</f>
        <v>0</v>
      </c>
      <c r="H19" s="89">
        <f>'Rekapitulacija Posebni dio'!F497</f>
        <v>9041.44</v>
      </c>
      <c r="I19" s="585">
        <f t="shared" si="0"/>
        <v>9041.44</v>
      </c>
      <c r="J19" s="585">
        <f t="shared" si="1"/>
        <v>9041.44</v>
      </c>
      <c r="K19" s="90"/>
      <c r="L19" s="90"/>
      <c r="M19" s="90"/>
      <c r="N19" s="90"/>
      <c r="O19" s="90"/>
      <c r="P19" s="90"/>
      <c r="Q19" s="90"/>
    </row>
    <row r="20" spans="1:17" s="91" customFormat="1" x14ac:dyDescent="0.25">
      <c r="A20" s="82"/>
      <c r="B20" s="92">
        <v>313</v>
      </c>
      <c r="C20" s="82"/>
      <c r="D20" s="82" t="s">
        <v>100</v>
      </c>
      <c r="E20" s="93">
        <f t="shared" ref="E20:G21" si="7">SUM(E21)</f>
        <v>1439.41</v>
      </c>
      <c r="F20" s="93">
        <f t="shared" si="7"/>
        <v>988.29</v>
      </c>
      <c r="G20" s="93">
        <f t="shared" si="7"/>
        <v>40988.289999999994</v>
      </c>
      <c r="H20" s="93">
        <f t="shared" ref="H20:H21" si="8">SUM(H21)</f>
        <v>40638.519999999997</v>
      </c>
      <c r="I20" s="607">
        <f t="shared" si="0"/>
        <v>4112.0035617075955</v>
      </c>
      <c r="J20" s="607">
        <f t="shared" si="1"/>
        <v>99.146658716428533</v>
      </c>
      <c r="K20" s="90"/>
      <c r="L20" s="90"/>
      <c r="M20" s="90"/>
      <c r="N20" s="90"/>
      <c r="O20" s="90"/>
      <c r="P20" s="90"/>
      <c r="Q20" s="90"/>
    </row>
    <row r="21" spans="1:17" s="91" customFormat="1" x14ac:dyDescent="0.25">
      <c r="A21" s="82"/>
      <c r="B21" s="92">
        <v>3132</v>
      </c>
      <c r="C21" s="82"/>
      <c r="D21" s="82" t="s">
        <v>101</v>
      </c>
      <c r="E21" s="93">
        <f t="shared" si="7"/>
        <v>1439.41</v>
      </c>
      <c r="F21" s="93">
        <f t="shared" si="7"/>
        <v>988.29</v>
      </c>
      <c r="G21" s="93">
        <f t="shared" si="7"/>
        <v>40988.289999999994</v>
      </c>
      <c r="H21" s="93">
        <f t="shared" si="8"/>
        <v>40638.519999999997</v>
      </c>
      <c r="I21" s="607">
        <f t="shared" si="0"/>
        <v>4112.0035617075955</v>
      </c>
      <c r="J21" s="607">
        <f t="shared" si="1"/>
        <v>99.146658716428533</v>
      </c>
      <c r="K21" s="90"/>
      <c r="L21" s="90"/>
      <c r="M21" s="90"/>
      <c r="N21" s="90"/>
      <c r="O21" s="90"/>
      <c r="P21" s="90"/>
      <c r="Q21" s="90"/>
    </row>
    <row r="22" spans="1:17" s="62" customFormat="1" x14ac:dyDescent="0.25">
      <c r="A22" s="57"/>
      <c r="B22" s="94" t="s">
        <v>475</v>
      </c>
      <c r="C22" s="57"/>
      <c r="D22" s="57" t="s">
        <v>101</v>
      </c>
      <c r="E22" s="89">
        <f>'Rekapitulacija Posebni dio'!C402+'Rekapitulacija Posebni dio'!C554+'Rekapitulacija Posebni dio'!C573+'Rekapitulacija Posebni dio'!C595</f>
        <v>1439.41</v>
      </c>
      <c r="F22" s="89">
        <f>'Rekapitulacija Posebni dio'!D402+'Rekapitulacija Posebni dio'!D554+'Rekapitulacija Posebni dio'!D573+'Rekapitulacija Posebni dio'!D595</f>
        <v>988.29</v>
      </c>
      <c r="G22" s="89">
        <f>'Rekapitulacija Posebni dio'!E402+'Rekapitulacija Posebni dio'!E554+'Rekapitulacija Posebni dio'!E573+'Rekapitulacija Posebni dio'!E595</f>
        <v>40988.289999999994</v>
      </c>
      <c r="H22" s="89">
        <f>'Rekapitulacija Posebni dio'!F402+'Rekapitulacija Posebni dio'!F573+'Rekapitulacija Posebni dio'!F595</f>
        <v>40638.519999999997</v>
      </c>
      <c r="I22" s="585">
        <f t="shared" si="0"/>
        <v>4112.0035617075955</v>
      </c>
      <c r="J22" s="585">
        <f t="shared" si="1"/>
        <v>99.146658716428533</v>
      </c>
      <c r="K22" s="58"/>
      <c r="L22" s="58"/>
      <c r="M22" s="58"/>
      <c r="N22" s="58"/>
      <c r="O22" s="58"/>
      <c r="P22" s="58"/>
      <c r="Q22" s="58"/>
    </row>
    <row r="23" spans="1:17" s="62" customFormat="1" x14ac:dyDescent="0.25">
      <c r="A23" s="82"/>
      <c r="B23" s="83">
        <v>32</v>
      </c>
      <c r="C23" s="84"/>
      <c r="D23" s="85" t="s">
        <v>102</v>
      </c>
      <c r="E23" s="86">
        <f>E24+E29+E48+E69+E73</f>
        <v>131487.62</v>
      </c>
      <c r="F23" s="86">
        <f>F24+F29+F48+F69+F73</f>
        <v>96660</v>
      </c>
      <c r="G23" s="86">
        <f>G24+G29+G48+G69+G73</f>
        <v>296010</v>
      </c>
      <c r="H23" s="86">
        <f>H24+H29+H48+H69+H73</f>
        <v>298479.31</v>
      </c>
      <c r="I23" s="587">
        <f t="shared" si="0"/>
        <v>308.79299606869438</v>
      </c>
      <c r="J23" s="587">
        <f t="shared" si="1"/>
        <v>100.83419816898078</v>
      </c>
      <c r="K23" s="58"/>
      <c r="L23" s="58"/>
      <c r="M23" s="58"/>
      <c r="N23" s="58"/>
      <c r="O23" s="58"/>
      <c r="P23" s="58"/>
      <c r="Q23" s="58"/>
    </row>
    <row r="24" spans="1:17" s="62" customFormat="1" x14ac:dyDescent="0.25">
      <c r="A24" s="82"/>
      <c r="B24" s="87">
        <v>321</v>
      </c>
      <c r="C24" s="82"/>
      <c r="D24" s="95" t="s">
        <v>103</v>
      </c>
      <c r="E24" s="52">
        <f>E25+E27</f>
        <v>0</v>
      </c>
      <c r="F24" s="52">
        <f t="shared" ref="F24:H24" si="9">F25+F27</f>
        <v>0</v>
      </c>
      <c r="G24" s="52">
        <f t="shared" si="9"/>
        <v>0</v>
      </c>
      <c r="H24" s="52">
        <f t="shared" si="9"/>
        <v>411.25</v>
      </c>
      <c r="I24" s="591">
        <f t="shared" si="0"/>
        <v>411.25</v>
      </c>
      <c r="J24" s="591">
        <f t="shared" si="1"/>
        <v>411.25</v>
      </c>
      <c r="K24" s="58"/>
      <c r="L24" s="58"/>
      <c r="M24" s="58"/>
      <c r="N24" s="58"/>
      <c r="O24" s="58"/>
      <c r="P24" s="58"/>
      <c r="Q24" s="58"/>
    </row>
    <row r="25" spans="1:17" s="62" customFormat="1" x14ac:dyDescent="0.25">
      <c r="A25" s="82"/>
      <c r="B25" s="87" t="s">
        <v>104</v>
      </c>
      <c r="C25" s="82"/>
      <c r="D25" s="95" t="s">
        <v>105</v>
      </c>
      <c r="E25" s="52">
        <f>E26</f>
        <v>0</v>
      </c>
      <c r="F25" s="52">
        <f t="shared" ref="F25:H25" si="10">F26</f>
        <v>0</v>
      </c>
      <c r="G25" s="52">
        <f t="shared" si="10"/>
        <v>0</v>
      </c>
      <c r="H25" s="52">
        <f t="shared" si="10"/>
        <v>180</v>
      </c>
      <c r="I25" s="591">
        <f t="shared" si="0"/>
        <v>180</v>
      </c>
      <c r="J25" s="591">
        <f t="shared" si="1"/>
        <v>180</v>
      </c>
      <c r="K25" s="58"/>
      <c r="L25" s="58"/>
      <c r="M25" s="58"/>
      <c r="N25" s="58"/>
      <c r="O25" s="58"/>
      <c r="P25" s="58"/>
      <c r="Q25" s="58"/>
    </row>
    <row r="26" spans="1:17" s="62" customFormat="1" x14ac:dyDescent="0.25">
      <c r="A26" s="57"/>
      <c r="B26" s="88" t="s">
        <v>506</v>
      </c>
      <c r="C26" s="57"/>
      <c r="D26" s="96" t="s">
        <v>387</v>
      </c>
      <c r="E26" s="89">
        <f>'Rekapitulacija Posebni dio'!C599</f>
        <v>0</v>
      </c>
      <c r="F26" s="89">
        <f>'Rekapitulacija Posebni dio'!D599</f>
        <v>0</v>
      </c>
      <c r="G26" s="89">
        <f>'Rekapitulacija Posebni dio'!E599</f>
        <v>0</v>
      </c>
      <c r="H26" s="89">
        <f>'Rekapitulacija Posebni dio'!F599</f>
        <v>180</v>
      </c>
      <c r="I26" s="585">
        <f t="shared" si="0"/>
        <v>180</v>
      </c>
      <c r="J26" s="585">
        <f t="shared" si="1"/>
        <v>180</v>
      </c>
      <c r="K26" s="58"/>
      <c r="L26" s="58"/>
      <c r="M26" s="58"/>
      <c r="N26" s="58"/>
      <c r="O26" s="58"/>
      <c r="P26" s="58"/>
      <c r="Q26" s="58"/>
    </row>
    <row r="27" spans="1:17" s="65" customFormat="1" ht="14.25" x14ac:dyDescent="0.25">
      <c r="A27" s="82"/>
      <c r="B27" s="87" t="s">
        <v>108</v>
      </c>
      <c r="C27" s="82"/>
      <c r="D27" s="95" t="s">
        <v>109</v>
      </c>
      <c r="E27" s="52">
        <f>E28</f>
        <v>0</v>
      </c>
      <c r="F27" s="52">
        <f t="shared" ref="F27:H27" si="11">F28</f>
        <v>0</v>
      </c>
      <c r="G27" s="52">
        <f t="shared" si="11"/>
        <v>0</v>
      </c>
      <c r="H27" s="52">
        <f t="shared" si="11"/>
        <v>231.25</v>
      </c>
      <c r="I27" s="591">
        <f t="shared" si="0"/>
        <v>231.25</v>
      </c>
      <c r="J27" s="591">
        <f t="shared" si="1"/>
        <v>231.25</v>
      </c>
      <c r="K27" s="64"/>
      <c r="L27" s="64"/>
      <c r="M27" s="64"/>
      <c r="N27" s="64"/>
      <c r="O27" s="64"/>
      <c r="P27" s="64"/>
      <c r="Q27" s="64"/>
    </row>
    <row r="28" spans="1:17" s="62" customFormat="1" x14ac:dyDescent="0.25">
      <c r="A28" s="57"/>
      <c r="B28" s="88">
        <v>32131</v>
      </c>
      <c r="C28" s="57"/>
      <c r="D28" s="96" t="s">
        <v>391</v>
      </c>
      <c r="E28" s="89">
        <f>'Rekapitulacija Posebni dio'!C448</f>
        <v>0</v>
      </c>
      <c r="F28" s="89">
        <f>'Rekapitulacija Posebni dio'!D448</f>
        <v>0</v>
      </c>
      <c r="G28" s="89">
        <f>'Rekapitulacija Posebni dio'!E448</f>
        <v>0</v>
      </c>
      <c r="H28" s="89">
        <f>'Rekapitulacija Posebni dio'!F448</f>
        <v>231.25</v>
      </c>
      <c r="I28" s="585">
        <f t="shared" si="0"/>
        <v>231.25</v>
      </c>
      <c r="J28" s="585">
        <f t="shared" si="1"/>
        <v>231.25</v>
      </c>
      <c r="K28" s="58"/>
      <c r="L28" s="58"/>
      <c r="M28" s="58"/>
      <c r="N28" s="58"/>
      <c r="O28" s="58"/>
      <c r="P28" s="58"/>
      <c r="Q28" s="58"/>
    </row>
    <row r="29" spans="1:17" s="62" customFormat="1" x14ac:dyDescent="0.25">
      <c r="A29" s="82"/>
      <c r="B29" s="87" t="s">
        <v>112</v>
      </c>
      <c r="C29" s="82"/>
      <c r="D29" s="95" t="s">
        <v>113</v>
      </c>
      <c r="E29" s="52">
        <f>E30+E34+E36+E41+E44+E46</f>
        <v>20672.780000000002</v>
      </c>
      <c r="F29" s="52">
        <f t="shared" ref="F29:H29" si="12">F30+F34+F36+F41+F44+F46</f>
        <v>0</v>
      </c>
      <c r="G29" s="52">
        <f t="shared" si="12"/>
        <v>4000</v>
      </c>
      <c r="H29" s="52">
        <f t="shared" si="12"/>
        <v>29283.37</v>
      </c>
      <c r="I29" s="591">
        <f t="shared" si="0"/>
        <v>29283.37</v>
      </c>
      <c r="J29" s="591">
        <f t="shared" si="1"/>
        <v>732.08425</v>
      </c>
      <c r="K29" s="58"/>
      <c r="L29" s="58"/>
      <c r="M29" s="58"/>
      <c r="N29" s="58"/>
      <c r="O29" s="58"/>
      <c r="P29" s="58"/>
      <c r="Q29" s="58"/>
    </row>
    <row r="30" spans="1:17" s="62" customFormat="1" x14ac:dyDescent="0.25">
      <c r="A30" s="82"/>
      <c r="B30" s="87" t="s">
        <v>114</v>
      </c>
      <c r="C30" s="82"/>
      <c r="D30" s="95" t="s">
        <v>115</v>
      </c>
      <c r="E30" s="52">
        <f>SUM(E31:E33)</f>
        <v>1543.88</v>
      </c>
      <c r="F30" s="52">
        <f t="shared" ref="F30:H30" si="13">SUM(F31:F33)</f>
        <v>0</v>
      </c>
      <c r="G30" s="52">
        <f t="shared" si="13"/>
        <v>4000</v>
      </c>
      <c r="H30" s="52">
        <f t="shared" si="13"/>
        <v>9867.7799999999988</v>
      </c>
      <c r="I30" s="591">
        <f t="shared" si="0"/>
        <v>9867.7799999999988</v>
      </c>
      <c r="J30" s="591">
        <f t="shared" si="1"/>
        <v>246.69449999999995</v>
      </c>
      <c r="K30" s="58"/>
      <c r="L30" s="58"/>
      <c r="M30" s="58"/>
      <c r="N30" s="58"/>
      <c r="O30" s="58"/>
      <c r="P30" s="58"/>
      <c r="Q30" s="58"/>
    </row>
    <row r="31" spans="1:17" s="62" customFormat="1" x14ac:dyDescent="0.25">
      <c r="A31" s="82"/>
      <c r="B31" s="88" t="s">
        <v>497</v>
      </c>
      <c r="C31" s="57"/>
      <c r="D31" s="96" t="s">
        <v>394</v>
      </c>
      <c r="E31" s="89">
        <f>'Rekapitulacija Posebni dio'!C408+'Rekapitulacija Posebni dio'!C451</f>
        <v>1228.8800000000001</v>
      </c>
      <c r="F31" s="89">
        <f>'Rekapitulacija Posebni dio'!D408+'Rekapitulacija Posebni dio'!D451</f>
        <v>0</v>
      </c>
      <c r="G31" s="89">
        <f>'Rekapitulacija Posebni dio'!E408+'Rekapitulacija Posebni dio'!E451</f>
        <v>2000</v>
      </c>
      <c r="H31" s="89">
        <f>'Rekapitulacija Posebni dio'!F408+'Rekapitulacija Posebni dio'!F451</f>
        <v>2747.52</v>
      </c>
      <c r="I31" s="585">
        <f t="shared" si="0"/>
        <v>2747.52</v>
      </c>
      <c r="J31" s="585">
        <f t="shared" si="1"/>
        <v>137.376</v>
      </c>
      <c r="K31" s="58"/>
      <c r="L31" s="58"/>
      <c r="M31" s="58"/>
      <c r="N31" s="58"/>
      <c r="O31" s="58"/>
      <c r="P31" s="58"/>
      <c r="Q31" s="58"/>
    </row>
    <row r="32" spans="1:17" s="62" customFormat="1" x14ac:dyDescent="0.25">
      <c r="A32" s="82"/>
      <c r="B32" s="88" t="s">
        <v>518</v>
      </c>
      <c r="C32" s="57"/>
      <c r="D32" s="96" t="s">
        <v>396</v>
      </c>
      <c r="E32" s="89">
        <f>'Rekapitulacija Posebni dio'!C409+'Rekapitulacija Posebni dio'!C452</f>
        <v>315</v>
      </c>
      <c r="F32" s="89">
        <f>'Rekapitulacija Posebni dio'!D409+'Rekapitulacija Posebni dio'!D452</f>
        <v>0</v>
      </c>
      <c r="G32" s="89">
        <f>'Rekapitulacija Posebni dio'!E409+'Rekapitulacija Posebni dio'!E452</f>
        <v>2000</v>
      </c>
      <c r="H32" s="89">
        <f>'Rekapitulacija Posebni dio'!F409+'Rekapitulacija Posebni dio'!F452</f>
        <v>4803.3599999999997</v>
      </c>
      <c r="I32" s="585">
        <f t="shared" si="0"/>
        <v>4803.3599999999997</v>
      </c>
      <c r="J32" s="585">
        <f t="shared" si="1"/>
        <v>240.16799999999998</v>
      </c>
      <c r="K32" s="58"/>
      <c r="L32" s="58"/>
      <c r="M32" s="58"/>
      <c r="N32" s="58"/>
      <c r="O32" s="58"/>
      <c r="P32" s="58"/>
      <c r="Q32" s="58"/>
    </row>
    <row r="33" spans="1:17" s="62" customFormat="1" x14ac:dyDescent="0.25">
      <c r="A33" s="82"/>
      <c r="B33" s="88" t="s">
        <v>520</v>
      </c>
      <c r="C33" s="57"/>
      <c r="D33" s="96" t="s">
        <v>398</v>
      </c>
      <c r="E33" s="89">
        <f>'Rekapitulacija Posebni dio'!C453+'Rekapitulacija Posebni dio'!C603</f>
        <v>0</v>
      </c>
      <c r="F33" s="89">
        <f>'Rekapitulacija Posebni dio'!D453+'Rekapitulacija Posebni dio'!D603</f>
        <v>0</v>
      </c>
      <c r="G33" s="89">
        <f>'Rekapitulacija Posebni dio'!E453+'Rekapitulacija Posebni dio'!E603</f>
        <v>0</v>
      </c>
      <c r="H33" s="89">
        <f>'Rekapitulacija Posebni dio'!F453+'Rekapitulacija Posebni dio'!F603</f>
        <v>2316.8999999999996</v>
      </c>
      <c r="I33" s="585">
        <f t="shared" si="0"/>
        <v>2316.8999999999996</v>
      </c>
      <c r="J33" s="585">
        <f t="shared" si="1"/>
        <v>2316.8999999999996</v>
      </c>
      <c r="K33" s="58"/>
      <c r="L33" s="58"/>
      <c r="M33" s="58"/>
      <c r="N33" s="58"/>
      <c r="O33" s="58"/>
      <c r="P33" s="58"/>
      <c r="Q33" s="58"/>
    </row>
    <row r="34" spans="1:17" s="65" customFormat="1" ht="14.25" x14ac:dyDescent="0.25">
      <c r="A34" s="82"/>
      <c r="B34" s="87" t="s">
        <v>116</v>
      </c>
      <c r="C34" s="82"/>
      <c r="D34" s="95" t="s">
        <v>117</v>
      </c>
      <c r="E34" s="52">
        <f>E35</f>
        <v>12071.02</v>
      </c>
      <c r="F34" s="52">
        <f t="shared" ref="F34:H34" si="14">F35</f>
        <v>0</v>
      </c>
      <c r="G34" s="52">
        <f t="shared" si="14"/>
        <v>0</v>
      </c>
      <c r="H34" s="52">
        <f t="shared" si="14"/>
        <v>0</v>
      </c>
      <c r="I34" s="591">
        <f t="shared" si="0"/>
        <v>0</v>
      </c>
      <c r="J34" s="591">
        <f t="shared" si="1"/>
        <v>0</v>
      </c>
      <c r="K34" s="64"/>
      <c r="L34" s="64"/>
      <c r="M34" s="64"/>
      <c r="N34" s="64"/>
      <c r="O34" s="64"/>
      <c r="P34" s="64"/>
      <c r="Q34" s="64"/>
    </row>
    <row r="35" spans="1:17" s="62" customFormat="1" x14ac:dyDescent="0.25">
      <c r="A35" s="82"/>
      <c r="B35" s="88" t="s">
        <v>478</v>
      </c>
      <c r="C35" s="57"/>
      <c r="D35" s="96" t="s">
        <v>399</v>
      </c>
      <c r="E35" s="89">
        <f>'Rekapitulacija Posebni dio'!C411</f>
        <v>12071.02</v>
      </c>
      <c r="F35" s="89">
        <f>'Rekapitulacija Posebni dio'!D411</f>
        <v>0</v>
      </c>
      <c r="G35" s="89">
        <f>'Rekapitulacija Posebni dio'!E411</f>
        <v>0</v>
      </c>
      <c r="H35" s="89">
        <f>'Rekapitulacija Posebni dio'!F411</f>
        <v>0</v>
      </c>
      <c r="I35" s="585">
        <f t="shared" si="0"/>
        <v>0</v>
      </c>
      <c r="J35" s="585">
        <f t="shared" si="1"/>
        <v>0</v>
      </c>
      <c r="K35" s="58"/>
      <c r="L35" s="58"/>
      <c r="M35" s="58"/>
      <c r="N35" s="58"/>
      <c r="O35" s="58"/>
      <c r="P35" s="58"/>
      <c r="Q35" s="58"/>
    </row>
    <row r="36" spans="1:17" s="65" customFormat="1" ht="14.25" x14ac:dyDescent="0.25">
      <c r="A36" s="82"/>
      <c r="B36" s="87" t="s">
        <v>118</v>
      </c>
      <c r="C36" s="82"/>
      <c r="D36" s="95" t="s">
        <v>119</v>
      </c>
      <c r="E36" s="52">
        <f>SUM(E37:E40)</f>
        <v>3057.8799999999997</v>
      </c>
      <c r="F36" s="52">
        <f t="shared" ref="F36:H36" si="15">SUM(F37:F40)</f>
        <v>0</v>
      </c>
      <c r="G36" s="52">
        <f t="shared" si="15"/>
        <v>0</v>
      </c>
      <c r="H36" s="52">
        <f t="shared" si="15"/>
        <v>16477.72</v>
      </c>
      <c r="I36" s="591">
        <f t="shared" si="0"/>
        <v>16477.72</v>
      </c>
      <c r="J36" s="591">
        <f t="shared" si="1"/>
        <v>16477.72</v>
      </c>
      <c r="K36" s="64"/>
      <c r="L36" s="64"/>
      <c r="M36" s="64"/>
      <c r="N36" s="64"/>
      <c r="O36" s="64"/>
      <c r="P36" s="64"/>
      <c r="Q36" s="64"/>
    </row>
    <row r="37" spans="1:17" s="62" customFormat="1" x14ac:dyDescent="0.25">
      <c r="A37" s="82"/>
      <c r="B37" s="88" t="s">
        <v>481</v>
      </c>
      <c r="C37" s="57"/>
      <c r="D37" s="96" t="s">
        <v>403</v>
      </c>
      <c r="E37" s="89">
        <f>'Rekapitulacija Posebni dio'!C413+'Rekapitulacija Posebni dio'!C455</f>
        <v>2416.9899999999998</v>
      </c>
      <c r="F37" s="89">
        <f>'Rekapitulacija Posebni dio'!D413+'Rekapitulacija Posebni dio'!D455</f>
        <v>0</v>
      </c>
      <c r="G37" s="89">
        <f>'Rekapitulacija Posebni dio'!E413+'Rekapitulacija Posebni dio'!E455</f>
        <v>0</v>
      </c>
      <c r="H37" s="89">
        <f>'Rekapitulacija Posebni dio'!F413+'Rekapitulacija Posebni dio'!F455</f>
        <v>8552.36</v>
      </c>
      <c r="I37" s="585">
        <f t="shared" si="0"/>
        <v>8552.36</v>
      </c>
      <c r="J37" s="585">
        <f t="shared" si="1"/>
        <v>8552.36</v>
      </c>
      <c r="K37" s="58"/>
      <c r="L37" s="58"/>
      <c r="M37" s="58"/>
      <c r="N37" s="58"/>
      <c r="O37" s="58"/>
      <c r="P37" s="58"/>
      <c r="Q37" s="58"/>
    </row>
    <row r="38" spans="1:17" s="62" customFormat="1" x14ac:dyDescent="0.25">
      <c r="A38" s="82"/>
      <c r="B38" s="88" t="s">
        <v>482</v>
      </c>
      <c r="C38" s="57"/>
      <c r="D38" s="96" t="s">
        <v>404</v>
      </c>
      <c r="E38" s="89">
        <f>'Rekapitulacija Posebni dio'!C456</f>
        <v>0</v>
      </c>
      <c r="F38" s="89">
        <f>'Rekapitulacija Posebni dio'!D456</f>
        <v>0</v>
      </c>
      <c r="G38" s="89">
        <f>'Rekapitulacija Posebni dio'!E456</f>
        <v>0</v>
      </c>
      <c r="H38" s="89">
        <f>'Rekapitulacija Posebni dio'!F456</f>
        <v>173.42</v>
      </c>
      <c r="I38" s="585">
        <f t="shared" si="0"/>
        <v>173.42</v>
      </c>
      <c r="J38" s="585">
        <f t="shared" si="1"/>
        <v>173.42</v>
      </c>
      <c r="K38" s="58"/>
      <c r="L38" s="58"/>
      <c r="M38" s="58"/>
      <c r="N38" s="58"/>
      <c r="O38" s="58"/>
      <c r="P38" s="58"/>
      <c r="Q38" s="58"/>
    </row>
    <row r="39" spans="1:17" s="62" customFormat="1" x14ac:dyDescent="0.25">
      <c r="A39" s="82"/>
      <c r="B39" s="88" t="s">
        <v>483</v>
      </c>
      <c r="C39" s="57"/>
      <c r="D39" s="96" t="s">
        <v>405</v>
      </c>
      <c r="E39" s="89">
        <f>'Rekapitulacija Posebni dio'!C414+'Rekapitulacija Posebni dio'!C457</f>
        <v>640.89</v>
      </c>
      <c r="F39" s="89">
        <f>'Rekapitulacija Posebni dio'!D414+'Rekapitulacija Posebni dio'!D457</f>
        <v>0</v>
      </c>
      <c r="G39" s="89">
        <f>'Rekapitulacija Posebni dio'!E414+'Rekapitulacija Posebni dio'!E457</f>
        <v>0</v>
      </c>
      <c r="H39" s="89">
        <f>'Rekapitulacija Posebni dio'!F414+'Rekapitulacija Posebni dio'!F457</f>
        <v>4736.47</v>
      </c>
      <c r="I39" s="585">
        <f t="shared" si="0"/>
        <v>4736.47</v>
      </c>
      <c r="J39" s="585">
        <f t="shared" si="1"/>
        <v>4736.47</v>
      </c>
      <c r="K39" s="58"/>
      <c r="L39" s="58"/>
      <c r="M39" s="58"/>
      <c r="N39" s="58"/>
      <c r="O39" s="58"/>
      <c r="P39" s="58"/>
      <c r="Q39" s="58"/>
    </row>
    <row r="40" spans="1:17" s="62" customFormat="1" x14ac:dyDescent="0.25">
      <c r="A40" s="82"/>
      <c r="B40" s="88" t="s">
        <v>484</v>
      </c>
      <c r="C40" s="57"/>
      <c r="D40" s="96" t="s">
        <v>402</v>
      </c>
      <c r="E40" s="89">
        <f>'Rekapitulacija Posebni dio'!C458</f>
        <v>0</v>
      </c>
      <c r="F40" s="89">
        <f>'Rekapitulacija Posebni dio'!D458</f>
        <v>0</v>
      </c>
      <c r="G40" s="89">
        <f>'Rekapitulacija Posebni dio'!E458</f>
        <v>0</v>
      </c>
      <c r="H40" s="89">
        <f>'Rekapitulacija Posebni dio'!F458</f>
        <v>3015.47</v>
      </c>
      <c r="I40" s="585">
        <f t="shared" si="0"/>
        <v>3015.47</v>
      </c>
      <c r="J40" s="585">
        <f t="shared" si="1"/>
        <v>3015.47</v>
      </c>
      <c r="K40" s="58"/>
      <c r="L40" s="58"/>
      <c r="M40" s="58"/>
      <c r="N40" s="58"/>
      <c r="O40" s="58"/>
      <c r="P40" s="58"/>
      <c r="Q40" s="58"/>
    </row>
    <row r="41" spans="1:17" s="62" customFormat="1" x14ac:dyDescent="0.25">
      <c r="A41" s="82"/>
      <c r="B41" s="87" t="s">
        <v>120</v>
      </c>
      <c r="C41" s="82"/>
      <c r="D41" s="95" t="s">
        <v>121</v>
      </c>
      <c r="E41" s="52">
        <f>E42+E43</f>
        <v>4000</v>
      </c>
      <c r="F41" s="52">
        <f t="shared" ref="F41:H41" si="16">F42+F43</f>
        <v>0</v>
      </c>
      <c r="G41" s="52">
        <f t="shared" si="16"/>
        <v>0</v>
      </c>
      <c r="H41" s="52">
        <f t="shared" si="16"/>
        <v>1379.6100000000001</v>
      </c>
      <c r="I41" s="591">
        <f t="shared" si="0"/>
        <v>1379.6100000000001</v>
      </c>
      <c r="J41" s="591">
        <f t="shared" si="1"/>
        <v>1379.6100000000001</v>
      </c>
      <c r="K41" s="58"/>
      <c r="L41" s="58"/>
      <c r="M41" s="58"/>
      <c r="N41" s="58"/>
      <c r="O41" s="58"/>
      <c r="P41" s="58"/>
      <c r="Q41" s="58"/>
    </row>
    <row r="42" spans="1:17" s="62" customFormat="1" x14ac:dyDescent="0.25">
      <c r="A42" s="82"/>
      <c r="B42" s="88" t="s">
        <v>522</v>
      </c>
      <c r="C42" s="57"/>
      <c r="D42" s="96" t="s">
        <v>590</v>
      </c>
      <c r="E42" s="89">
        <f>'Rekapitulacija Posebni dio'!C460+'Rekapitulacija Posebni dio'!C517</f>
        <v>4000</v>
      </c>
      <c r="F42" s="89">
        <f>'Rekapitulacija Posebni dio'!D460+'Rekapitulacija Posebni dio'!D517</f>
        <v>0</v>
      </c>
      <c r="G42" s="89">
        <f>'Rekapitulacija Posebni dio'!E460+'Rekapitulacija Posebni dio'!E517</f>
        <v>0</v>
      </c>
      <c r="H42" s="89">
        <f>'Rekapitulacija Posebni dio'!F460+'Rekapitulacija Posebni dio'!F517</f>
        <v>352.42</v>
      </c>
      <c r="I42" s="585">
        <f t="shared" si="0"/>
        <v>352.42</v>
      </c>
      <c r="J42" s="585">
        <f t="shared" si="1"/>
        <v>352.42</v>
      </c>
      <c r="K42" s="58"/>
      <c r="L42" s="58"/>
      <c r="M42" s="58"/>
      <c r="N42" s="58"/>
      <c r="O42" s="58"/>
      <c r="P42" s="58"/>
      <c r="Q42" s="58"/>
    </row>
    <row r="43" spans="1:17" s="62" customFormat="1" x14ac:dyDescent="0.25">
      <c r="A43" s="82"/>
      <c r="B43" s="88" t="s">
        <v>523</v>
      </c>
      <c r="C43" s="57"/>
      <c r="D43" s="96" t="s">
        <v>408</v>
      </c>
      <c r="E43" s="89">
        <f>'Rekapitulacija Posebni dio'!C461</f>
        <v>0</v>
      </c>
      <c r="F43" s="89">
        <f>'Rekapitulacija Posebni dio'!D461</f>
        <v>0</v>
      </c>
      <c r="G43" s="89">
        <f>'Rekapitulacija Posebni dio'!E461</f>
        <v>0</v>
      </c>
      <c r="H43" s="89">
        <f>'Rekapitulacija Posebni dio'!F461</f>
        <v>1027.19</v>
      </c>
      <c r="I43" s="585">
        <f t="shared" si="0"/>
        <v>1027.19</v>
      </c>
      <c r="J43" s="585">
        <f t="shared" si="1"/>
        <v>1027.19</v>
      </c>
      <c r="K43" s="58"/>
      <c r="L43" s="58"/>
      <c r="M43" s="58"/>
      <c r="N43" s="58"/>
      <c r="O43" s="58"/>
      <c r="P43" s="58"/>
      <c r="Q43" s="58"/>
    </row>
    <row r="44" spans="1:17" s="65" customFormat="1" ht="14.25" x14ac:dyDescent="0.25">
      <c r="A44" s="82"/>
      <c r="B44" s="87" t="s">
        <v>122</v>
      </c>
      <c r="C44" s="82"/>
      <c r="D44" s="95" t="s">
        <v>123</v>
      </c>
      <c r="E44" s="52">
        <f>E45</f>
        <v>0</v>
      </c>
      <c r="F44" s="52">
        <f t="shared" ref="F44:H44" si="17">F45</f>
        <v>0</v>
      </c>
      <c r="G44" s="52">
        <f t="shared" si="17"/>
        <v>0</v>
      </c>
      <c r="H44" s="52">
        <f t="shared" si="17"/>
        <v>326.51</v>
      </c>
      <c r="I44" s="591">
        <f t="shared" si="0"/>
        <v>326.51</v>
      </c>
      <c r="J44" s="591">
        <f t="shared" si="1"/>
        <v>326.51</v>
      </c>
      <c r="K44" s="64"/>
      <c r="L44" s="64"/>
      <c r="M44" s="64"/>
      <c r="N44" s="64"/>
      <c r="O44" s="64"/>
      <c r="P44" s="64"/>
      <c r="Q44" s="64"/>
    </row>
    <row r="45" spans="1:17" s="62" customFormat="1" x14ac:dyDescent="0.25">
      <c r="A45" s="82"/>
      <c r="B45" s="88" t="s">
        <v>485</v>
      </c>
      <c r="C45" s="57"/>
      <c r="D45" s="96" t="s">
        <v>123</v>
      </c>
      <c r="E45" s="89">
        <f>'Rekapitulacija Posebni dio'!C463</f>
        <v>0</v>
      </c>
      <c r="F45" s="89">
        <f>'Rekapitulacija Posebni dio'!D463</f>
        <v>0</v>
      </c>
      <c r="G45" s="89">
        <f>'Rekapitulacija Posebni dio'!E463</f>
        <v>0</v>
      </c>
      <c r="H45" s="89">
        <f>'Rekapitulacija Posebni dio'!F463</f>
        <v>326.51</v>
      </c>
      <c r="I45" s="585">
        <f t="shared" si="0"/>
        <v>326.51</v>
      </c>
      <c r="J45" s="585">
        <f t="shared" si="1"/>
        <v>326.51</v>
      </c>
      <c r="K45" s="58"/>
      <c r="L45" s="58"/>
      <c r="M45" s="58"/>
      <c r="N45" s="58"/>
      <c r="O45" s="58"/>
      <c r="P45" s="58"/>
      <c r="Q45" s="58"/>
    </row>
    <row r="46" spans="1:17" s="65" customFormat="1" ht="14.25" x14ac:dyDescent="0.25">
      <c r="A46" s="82"/>
      <c r="B46" s="87" t="s">
        <v>124</v>
      </c>
      <c r="C46" s="82"/>
      <c r="D46" s="95" t="s">
        <v>125</v>
      </c>
      <c r="E46" s="52">
        <f>E47</f>
        <v>0</v>
      </c>
      <c r="F46" s="52">
        <f t="shared" ref="F46:H46" si="18">F47</f>
        <v>0</v>
      </c>
      <c r="G46" s="52">
        <f t="shared" si="18"/>
        <v>0</v>
      </c>
      <c r="H46" s="52">
        <f t="shared" si="18"/>
        <v>1231.75</v>
      </c>
      <c r="I46" s="591">
        <f t="shared" si="0"/>
        <v>1231.75</v>
      </c>
      <c r="J46" s="591">
        <f t="shared" si="1"/>
        <v>1231.75</v>
      </c>
      <c r="K46" s="64"/>
      <c r="L46" s="64"/>
      <c r="M46" s="64"/>
      <c r="N46" s="64"/>
      <c r="O46" s="64"/>
      <c r="P46" s="64"/>
      <c r="Q46" s="64"/>
    </row>
    <row r="47" spans="1:17" s="62" customFormat="1" x14ac:dyDescent="0.25">
      <c r="A47" s="82"/>
      <c r="B47" s="88" t="s">
        <v>486</v>
      </c>
      <c r="C47" s="57"/>
      <c r="D47" s="96" t="s">
        <v>125</v>
      </c>
      <c r="E47" s="89">
        <f>'Rekapitulacija Posebni dio'!C465</f>
        <v>0</v>
      </c>
      <c r="F47" s="89">
        <f>'Rekapitulacija Posebni dio'!D465</f>
        <v>0</v>
      </c>
      <c r="G47" s="89">
        <f>'Rekapitulacija Posebni dio'!E465</f>
        <v>0</v>
      </c>
      <c r="H47" s="89">
        <f>'Rekapitulacija Posebni dio'!F465</f>
        <v>1231.75</v>
      </c>
      <c r="I47" s="585">
        <f t="shared" si="0"/>
        <v>1231.75</v>
      </c>
      <c r="J47" s="585">
        <f t="shared" si="1"/>
        <v>1231.75</v>
      </c>
      <c r="K47" s="58"/>
      <c r="L47" s="58"/>
      <c r="M47" s="58"/>
      <c r="N47" s="58"/>
      <c r="O47" s="58"/>
      <c r="P47" s="58"/>
      <c r="Q47" s="58"/>
    </row>
    <row r="48" spans="1:17" s="65" customFormat="1" ht="14.25" x14ac:dyDescent="0.25">
      <c r="A48" s="82"/>
      <c r="B48" s="87" t="s">
        <v>126</v>
      </c>
      <c r="C48" s="82"/>
      <c r="D48" s="97" t="s">
        <v>127</v>
      </c>
      <c r="E48" s="52">
        <f>E49+E51+E55+E58+E60+E64+E66</f>
        <v>109496.94</v>
      </c>
      <c r="F48" s="52">
        <f t="shared" ref="F48:H48" si="19">F49+F51+F55+F58+F60+F64+F66</f>
        <v>96660</v>
      </c>
      <c r="G48" s="52">
        <f t="shared" si="19"/>
        <v>116010</v>
      </c>
      <c r="H48" s="52">
        <f t="shared" si="19"/>
        <v>116324.02999999998</v>
      </c>
      <c r="I48" s="591">
        <f t="shared" si="0"/>
        <v>120.34350300020688</v>
      </c>
      <c r="J48" s="591">
        <f t="shared" si="1"/>
        <v>100.27069218170845</v>
      </c>
      <c r="K48" s="64"/>
      <c r="L48" s="64"/>
      <c r="M48" s="64"/>
      <c r="N48" s="64"/>
      <c r="O48" s="64"/>
      <c r="P48" s="64"/>
      <c r="Q48" s="64"/>
    </row>
    <row r="49" spans="1:17" s="65" customFormat="1" ht="14.25" x14ac:dyDescent="0.25">
      <c r="A49" s="82"/>
      <c r="B49" s="39" t="s">
        <v>128</v>
      </c>
      <c r="C49" s="82"/>
      <c r="D49" s="40" t="s">
        <v>129</v>
      </c>
      <c r="E49" s="52">
        <f>E50</f>
        <v>0</v>
      </c>
      <c r="F49" s="52">
        <f>F50</f>
        <v>0</v>
      </c>
      <c r="G49" s="52">
        <f>G50</f>
        <v>3000</v>
      </c>
      <c r="H49" s="52">
        <f>H50</f>
        <v>4327.8900000000003</v>
      </c>
      <c r="I49" s="591">
        <f t="shared" si="0"/>
        <v>4327.8900000000003</v>
      </c>
      <c r="J49" s="591">
        <f t="shared" si="1"/>
        <v>144.26300000000001</v>
      </c>
      <c r="K49" s="64"/>
      <c r="L49" s="64"/>
      <c r="M49" s="64"/>
      <c r="N49" s="64"/>
      <c r="O49" s="64"/>
      <c r="P49" s="64"/>
      <c r="Q49" s="64"/>
    </row>
    <row r="50" spans="1:17" s="65" customFormat="1" x14ac:dyDescent="0.25">
      <c r="A50" s="82"/>
      <c r="B50" s="41" t="s">
        <v>487</v>
      </c>
      <c r="C50" s="82"/>
      <c r="D50" s="42" t="s">
        <v>410</v>
      </c>
      <c r="E50" s="89">
        <f>'Rekapitulacija Posebni dio'!C418+'Rekapitulacija Posebni dio'!C468</f>
        <v>0</v>
      </c>
      <c r="F50" s="89">
        <f>'Rekapitulacija Posebni dio'!D418+'Rekapitulacija Posebni dio'!D468</f>
        <v>0</v>
      </c>
      <c r="G50" s="89">
        <f>'Rekapitulacija Posebni dio'!E418+'Rekapitulacija Posebni dio'!E468</f>
        <v>3000</v>
      </c>
      <c r="H50" s="89">
        <f>'Rekapitulacija Posebni dio'!F418+'Rekapitulacija Posebni dio'!F468</f>
        <v>4327.8900000000003</v>
      </c>
      <c r="I50" s="585">
        <f t="shared" si="0"/>
        <v>4327.8900000000003</v>
      </c>
      <c r="J50" s="585">
        <f t="shared" si="1"/>
        <v>144.26300000000001</v>
      </c>
      <c r="K50" s="64"/>
      <c r="L50" s="64"/>
      <c r="M50" s="64"/>
      <c r="N50" s="64"/>
      <c r="O50" s="64"/>
      <c r="P50" s="64"/>
      <c r="Q50" s="64"/>
    </row>
    <row r="51" spans="1:17" s="65" customFormat="1" ht="14.25" x14ac:dyDescent="0.25">
      <c r="A51" s="82"/>
      <c r="B51" s="87" t="s">
        <v>130</v>
      </c>
      <c r="C51" s="82"/>
      <c r="D51" s="97" t="s">
        <v>131</v>
      </c>
      <c r="E51" s="52">
        <f>SUM(E52:E54)</f>
        <v>64234.04</v>
      </c>
      <c r="F51" s="52">
        <f>SUM(F52:F54)</f>
        <v>64440</v>
      </c>
      <c r="G51" s="52">
        <f>SUM(G52:G54)</f>
        <v>46010</v>
      </c>
      <c r="H51" s="52">
        <f>SUM(H52:H54)</f>
        <v>46642.99</v>
      </c>
      <c r="I51" s="591">
        <f t="shared" si="0"/>
        <v>72.382045313469888</v>
      </c>
      <c r="J51" s="591">
        <f t="shared" si="1"/>
        <v>101.37576613779613</v>
      </c>
      <c r="K51" s="64"/>
      <c r="L51" s="64"/>
      <c r="M51" s="64"/>
      <c r="N51" s="64"/>
      <c r="O51" s="64"/>
      <c r="P51" s="64"/>
      <c r="Q51" s="64"/>
    </row>
    <row r="52" spans="1:17" s="62" customFormat="1" ht="15" customHeight="1" x14ac:dyDescent="0.25">
      <c r="A52" s="57"/>
      <c r="B52" s="88" t="s">
        <v>510</v>
      </c>
      <c r="C52" s="57"/>
      <c r="D52" s="98" t="s">
        <v>413</v>
      </c>
      <c r="E52" s="89">
        <f>'Rekapitulacija Posebni dio'!C520</f>
        <v>15000</v>
      </c>
      <c r="F52" s="89">
        <f>'Rekapitulacija Posebni dio'!D520</f>
        <v>16110</v>
      </c>
      <c r="G52" s="89">
        <f>'Rekapitulacija Posebni dio'!E520</f>
        <v>20641</v>
      </c>
      <c r="H52" s="89">
        <f>'Rekapitulacija Posebni dio'!F520</f>
        <v>20641</v>
      </c>
      <c r="I52" s="585">
        <f t="shared" si="0"/>
        <v>128.1253879577902</v>
      </c>
      <c r="J52" s="585">
        <f t="shared" si="1"/>
        <v>100</v>
      </c>
      <c r="K52" s="58"/>
      <c r="L52" s="58"/>
      <c r="M52" s="58"/>
      <c r="N52" s="58"/>
      <c r="O52" s="58"/>
      <c r="P52" s="58"/>
      <c r="Q52" s="58"/>
    </row>
    <row r="53" spans="1:17" s="62" customFormat="1" ht="15" customHeight="1" x14ac:dyDescent="0.25">
      <c r="A53" s="57"/>
      <c r="B53" s="88" t="s">
        <v>511</v>
      </c>
      <c r="C53" s="57"/>
      <c r="D53" s="98" t="s">
        <v>414</v>
      </c>
      <c r="E53" s="89">
        <f>'Rekapitulacija Posebni dio'!C470+'Rekapitulacija Posebni dio'!C521</f>
        <v>8000</v>
      </c>
      <c r="F53" s="89">
        <f>'Rekapitulacija Posebni dio'!D470+'Rekapitulacija Posebni dio'!D521</f>
        <v>16110</v>
      </c>
      <c r="G53" s="89">
        <f>'Rekapitulacija Posebni dio'!E470+'Rekapitulacija Posebni dio'!E521</f>
        <v>10760</v>
      </c>
      <c r="H53" s="89">
        <f>'Rekapitulacija Posebni dio'!F470+'Rekapitulacija Posebni dio'!F521</f>
        <v>11393.5</v>
      </c>
      <c r="I53" s="585">
        <f t="shared" si="0"/>
        <v>70.723153320918684</v>
      </c>
      <c r="J53" s="585">
        <f t="shared" si="1"/>
        <v>105.88754646840148</v>
      </c>
      <c r="K53" s="58"/>
      <c r="L53" s="58"/>
      <c r="M53" s="58"/>
      <c r="N53" s="58"/>
      <c r="O53" s="58"/>
      <c r="P53" s="58"/>
      <c r="Q53" s="58"/>
    </row>
    <row r="54" spans="1:17" s="62" customFormat="1" x14ac:dyDescent="0.25">
      <c r="A54" s="57"/>
      <c r="B54" s="88" t="s">
        <v>512</v>
      </c>
      <c r="C54" s="57"/>
      <c r="D54" s="98" t="s">
        <v>412</v>
      </c>
      <c r="E54" s="89">
        <f>'Rekapitulacija Posebni dio'!C522</f>
        <v>41234.04</v>
      </c>
      <c r="F54" s="89">
        <f>'Rekapitulacija Posebni dio'!D522</f>
        <v>32220</v>
      </c>
      <c r="G54" s="89">
        <f>'Rekapitulacija Posebni dio'!E522</f>
        <v>14609</v>
      </c>
      <c r="H54" s="89">
        <f>'Rekapitulacija Posebni dio'!F522</f>
        <v>14608.49</v>
      </c>
      <c r="I54" s="585">
        <f t="shared" si="0"/>
        <v>45.339819987585351</v>
      </c>
      <c r="J54" s="585">
        <f t="shared" si="1"/>
        <v>99.996509001300566</v>
      </c>
      <c r="K54" s="58"/>
      <c r="L54" s="58"/>
      <c r="M54" s="58"/>
      <c r="N54" s="58"/>
      <c r="O54" s="58"/>
      <c r="P54" s="58"/>
      <c r="Q54" s="58"/>
    </row>
    <row r="55" spans="1:17" s="65" customFormat="1" ht="14.25" x14ac:dyDescent="0.25">
      <c r="A55" s="82"/>
      <c r="B55" s="87" t="s">
        <v>134</v>
      </c>
      <c r="C55" s="82"/>
      <c r="D55" s="97" t="s">
        <v>135</v>
      </c>
      <c r="E55" s="52">
        <f>E56+E57</f>
        <v>0</v>
      </c>
      <c r="F55" s="52">
        <f t="shared" ref="F55:H55" si="20">F56+F57</f>
        <v>0</v>
      </c>
      <c r="G55" s="52">
        <f t="shared" si="20"/>
        <v>0</v>
      </c>
      <c r="H55" s="52">
        <f t="shared" si="20"/>
        <v>6339.17</v>
      </c>
      <c r="I55" s="591">
        <f t="shared" si="0"/>
        <v>6339.17</v>
      </c>
      <c r="J55" s="591">
        <f t="shared" si="1"/>
        <v>6339.17</v>
      </c>
      <c r="K55" s="64"/>
      <c r="L55" s="64"/>
      <c r="M55" s="64"/>
      <c r="N55" s="64"/>
      <c r="O55" s="64"/>
      <c r="P55" s="64"/>
      <c r="Q55" s="64"/>
    </row>
    <row r="56" spans="1:17" s="62" customFormat="1" x14ac:dyDescent="0.25">
      <c r="A56" s="57"/>
      <c r="B56" s="88" t="s">
        <v>526</v>
      </c>
      <c r="C56" s="57"/>
      <c r="D56" s="98" t="s">
        <v>416</v>
      </c>
      <c r="E56" s="89">
        <f>'Rekapitulacija Posebni dio'!C472</f>
        <v>0</v>
      </c>
      <c r="F56" s="89">
        <f>'Rekapitulacija Posebni dio'!D472</f>
        <v>0</v>
      </c>
      <c r="G56" s="89">
        <f>'Rekapitulacija Posebni dio'!E472</f>
        <v>0</v>
      </c>
      <c r="H56" s="89">
        <f>'Rekapitulacija Posebni dio'!F472</f>
        <v>1418.57</v>
      </c>
      <c r="I56" s="585">
        <f t="shared" si="0"/>
        <v>1418.57</v>
      </c>
      <c r="J56" s="585">
        <f t="shared" si="1"/>
        <v>1418.57</v>
      </c>
      <c r="K56" s="58"/>
      <c r="L56" s="58"/>
      <c r="M56" s="58"/>
      <c r="N56" s="58"/>
      <c r="O56" s="58"/>
      <c r="P56" s="58"/>
      <c r="Q56" s="58"/>
    </row>
    <row r="57" spans="1:17" s="62" customFormat="1" x14ac:dyDescent="0.25">
      <c r="A57" s="57"/>
      <c r="B57" s="88" t="s">
        <v>527</v>
      </c>
      <c r="C57" s="57"/>
      <c r="D57" s="98" t="s">
        <v>417</v>
      </c>
      <c r="E57" s="89">
        <f>'Rekapitulacija Posebni dio'!C473</f>
        <v>0</v>
      </c>
      <c r="F57" s="89">
        <f>'Rekapitulacija Posebni dio'!D473</f>
        <v>0</v>
      </c>
      <c r="G57" s="89">
        <f>'Rekapitulacija Posebni dio'!E473</f>
        <v>0</v>
      </c>
      <c r="H57" s="89">
        <f>'Rekapitulacija Posebni dio'!F473</f>
        <v>4920.6000000000004</v>
      </c>
      <c r="I57" s="585">
        <f t="shared" si="0"/>
        <v>4920.6000000000004</v>
      </c>
      <c r="J57" s="585">
        <f t="shared" si="1"/>
        <v>4920.6000000000004</v>
      </c>
      <c r="K57" s="58"/>
      <c r="L57" s="58"/>
      <c r="M57" s="58"/>
      <c r="N57" s="58"/>
      <c r="O57" s="58"/>
      <c r="P57" s="58"/>
      <c r="Q57" s="58"/>
    </row>
    <row r="58" spans="1:17" s="62" customFormat="1" x14ac:dyDescent="0.25">
      <c r="A58" s="57"/>
      <c r="B58" s="99">
        <v>3236</v>
      </c>
      <c r="C58" s="100"/>
      <c r="D58" s="101" t="s">
        <v>137</v>
      </c>
      <c r="E58" s="52">
        <f>E59</f>
        <v>1399.02</v>
      </c>
      <c r="F58" s="52">
        <f t="shared" ref="F58:H58" si="21">F59</f>
        <v>0</v>
      </c>
      <c r="G58" s="52">
        <f t="shared" si="21"/>
        <v>27000</v>
      </c>
      <c r="H58" s="52">
        <f t="shared" si="21"/>
        <v>12622.22</v>
      </c>
      <c r="I58" s="591">
        <f t="shared" si="0"/>
        <v>12622.22</v>
      </c>
      <c r="J58" s="591">
        <f t="shared" si="1"/>
        <v>46.748962962962956</v>
      </c>
      <c r="K58" s="58"/>
      <c r="L58" s="58"/>
      <c r="M58" s="58"/>
      <c r="N58" s="58"/>
      <c r="O58" s="58"/>
      <c r="P58" s="58"/>
      <c r="Q58" s="58"/>
    </row>
    <row r="59" spans="1:17" s="62" customFormat="1" x14ac:dyDescent="0.25">
      <c r="A59" s="57"/>
      <c r="B59" s="102">
        <v>32369</v>
      </c>
      <c r="C59" s="103"/>
      <c r="D59" s="104" t="s">
        <v>137</v>
      </c>
      <c r="E59" s="89">
        <f>'Rekapitulacija Posebni dio'!C420+'Rekapitulacija Posebni dio'!C475</f>
        <v>1399.02</v>
      </c>
      <c r="F59" s="89">
        <f>'Rekapitulacija Posebni dio'!D420+'Rekapitulacija Posebni dio'!D475</f>
        <v>0</v>
      </c>
      <c r="G59" s="89">
        <f>'Rekapitulacija Posebni dio'!E420+'Rekapitulacija Posebni dio'!E475</f>
        <v>27000</v>
      </c>
      <c r="H59" s="89">
        <f>'Rekapitulacija Posebni dio'!F420+'Rekapitulacija Posebni dio'!F475</f>
        <v>12622.22</v>
      </c>
      <c r="I59" s="585">
        <f t="shared" si="0"/>
        <v>12622.22</v>
      </c>
      <c r="J59" s="585">
        <f t="shared" si="1"/>
        <v>46.748962962962956</v>
      </c>
      <c r="K59" s="58"/>
      <c r="L59" s="58"/>
      <c r="M59" s="58"/>
      <c r="N59" s="58"/>
      <c r="O59" s="58"/>
      <c r="P59" s="58"/>
      <c r="Q59" s="58"/>
    </row>
    <row r="60" spans="1:17" s="65" customFormat="1" ht="14.25" x14ac:dyDescent="0.25">
      <c r="A60" s="82"/>
      <c r="B60" s="99">
        <v>3237</v>
      </c>
      <c r="C60" s="100"/>
      <c r="D60" s="101" t="s">
        <v>138</v>
      </c>
      <c r="E60" s="52">
        <f t="shared" ref="E60:G60" si="22">E61+E62+E63</f>
        <v>1250</v>
      </c>
      <c r="F60" s="52">
        <f t="shared" si="22"/>
        <v>0</v>
      </c>
      <c r="G60" s="52">
        <f t="shared" si="22"/>
        <v>0</v>
      </c>
      <c r="H60" s="52">
        <f>H61+H62+H63</f>
        <v>6391.76</v>
      </c>
      <c r="I60" s="591">
        <f t="shared" si="0"/>
        <v>6391.76</v>
      </c>
      <c r="J60" s="591">
        <f t="shared" si="1"/>
        <v>6391.76</v>
      </c>
      <c r="K60" s="64"/>
      <c r="L60" s="64"/>
      <c r="M60" s="64"/>
      <c r="N60" s="64"/>
      <c r="O60" s="64"/>
      <c r="P60" s="64"/>
      <c r="Q60" s="64"/>
    </row>
    <row r="61" spans="1:17" s="62" customFormat="1" x14ac:dyDescent="0.25">
      <c r="A61" s="57"/>
      <c r="B61" s="102">
        <v>32372</v>
      </c>
      <c r="C61" s="103"/>
      <c r="D61" s="104" t="s">
        <v>422</v>
      </c>
      <c r="E61" s="89">
        <f>'Rekapitulacija Posebni dio'!C608</f>
        <v>0</v>
      </c>
      <c r="F61" s="89">
        <f>'Rekapitulacija Posebni dio'!D608</f>
        <v>0</v>
      </c>
      <c r="G61" s="89">
        <f>'Rekapitulacija Posebni dio'!E608</f>
        <v>0</v>
      </c>
      <c r="H61" s="89">
        <f>'Rekapitulacija Posebni dio'!F608</f>
        <v>716.76</v>
      </c>
      <c r="I61" s="585"/>
      <c r="J61" s="585"/>
      <c r="K61" s="58"/>
      <c r="L61" s="58"/>
      <c r="M61" s="58"/>
      <c r="N61" s="58"/>
      <c r="O61" s="58"/>
      <c r="P61" s="58"/>
      <c r="Q61" s="58"/>
    </row>
    <row r="62" spans="1:17" s="62" customFormat="1" x14ac:dyDescent="0.25">
      <c r="A62" s="57"/>
      <c r="B62" s="102">
        <v>32373</v>
      </c>
      <c r="C62" s="103"/>
      <c r="D62" s="104" t="s">
        <v>423</v>
      </c>
      <c r="E62" s="89">
        <f>'Rekapitulacija Posebni dio'!C477</f>
        <v>0</v>
      </c>
      <c r="F62" s="89">
        <f>'Rekapitulacija Posebni dio'!D477</f>
        <v>0</v>
      </c>
      <c r="G62" s="89">
        <f>'Rekapitulacija Posebni dio'!E477</f>
        <v>0</v>
      </c>
      <c r="H62" s="89">
        <f>'Rekapitulacija Posebni dio'!F477</f>
        <v>5000</v>
      </c>
      <c r="I62" s="585">
        <f t="shared" si="0"/>
        <v>5000</v>
      </c>
      <c r="J62" s="585">
        <f t="shared" si="1"/>
        <v>5000</v>
      </c>
      <c r="K62" s="58"/>
      <c r="L62" s="58"/>
      <c r="M62" s="58"/>
      <c r="N62" s="58"/>
      <c r="O62" s="58"/>
      <c r="P62" s="58"/>
      <c r="Q62" s="58"/>
    </row>
    <row r="63" spans="1:17" s="62" customFormat="1" x14ac:dyDescent="0.25">
      <c r="A63" s="57"/>
      <c r="B63" s="102">
        <v>32379</v>
      </c>
      <c r="C63" s="103"/>
      <c r="D63" s="104" t="s">
        <v>490</v>
      </c>
      <c r="E63" s="89">
        <f>'Rekapitulacija Posebni dio'!C422+'Rekapitulacija Posebni dio'!C478</f>
        <v>1250</v>
      </c>
      <c r="F63" s="89">
        <f>'Rekapitulacija Posebni dio'!D422+'Rekapitulacija Posebni dio'!D478</f>
        <v>0</v>
      </c>
      <c r="G63" s="89">
        <f>'Rekapitulacija Posebni dio'!E422+'Rekapitulacija Posebni dio'!E478</f>
        <v>0</v>
      </c>
      <c r="H63" s="89">
        <f>'Rekapitulacija Posebni dio'!F422+'Rekapitulacija Posebni dio'!F478</f>
        <v>675</v>
      </c>
      <c r="I63" s="585">
        <f t="shared" si="0"/>
        <v>675</v>
      </c>
      <c r="J63" s="585">
        <f t="shared" si="1"/>
        <v>675</v>
      </c>
      <c r="K63" s="58"/>
      <c r="L63" s="58"/>
      <c r="M63" s="58"/>
      <c r="N63" s="58"/>
      <c r="O63" s="58"/>
      <c r="P63" s="58"/>
      <c r="Q63" s="58"/>
    </row>
    <row r="64" spans="1:17" s="62" customFormat="1" ht="15" customHeight="1" x14ac:dyDescent="0.25">
      <c r="A64" s="57"/>
      <c r="B64" s="99">
        <v>3238</v>
      </c>
      <c r="C64" s="100"/>
      <c r="D64" s="101" t="s">
        <v>140</v>
      </c>
      <c r="E64" s="52">
        <f>SUM(E65)</f>
        <v>42306</v>
      </c>
      <c r="F64" s="52">
        <f>SUM(F65)</f>
        <v>32220</v>
      </c>
      <c r="G64" s="52">
        <f t="shared" ref="G64:H64" si="23">SUM(G65)</f>
        <v>40000</v>
      </c>
      <c r="H64" s="52">
        <f t="shared" si="23"/>
        <v>40000</v>
      </c>
      <c r="I64" s="591">
        <f t="shared" si="0"/>
        <v>124.14649286157666</v>
      </c>
      <c r="J64" s="591">
        <f t="shared" si="1"/>
        <v>100</v>
      </c>
      <c r="K64" s="58"/>
      <c r="L64" s="58"/>
      <c r="M64" s="58"/>
      <c r="N64" s="58"/>
      <c r="O64" s="58"/>
      <c r="P64" s="58"/>
      <c r="Q64" s="58"/>
    </row>
    <row r="65" spans="1:17" s="65" customFormat="1" x14ac:dyDescent="0.25">
      <c r="A65" s="82"/>
      <c r="B65" s="102">
        <v>32389</v>
      </c>
      <c r="C65" s="103"/>
      <c r="D65" s="104" t="s">
        <v>424</v>
      </c>
      <c r="E65" s="89">
        <f>'Rekapitulacija Posebni dio'!C526</f>
        <v>42306</v>
      </c>
      <c r="F65" s="89">
        <f>'Rekapitulacija Posebni dio'!D526</f>
        <v>32220</v>
      </c>
      <c r="G65" s="89">
        <f>'Rekapitulacija Posebni dio'!E526</f>
        <v>40000</v>
      </c>
      <c r="H65" s="89">
        <f>'Rekapitulacija Posebni dio'!F526</f>
        <v>40000</v>
      </c>
      <c r="I65" s="585">
        <f t="shared" si="0"/>
        <v>124.14649286157666</v>
      </c>
      <c r="J65" s="585">
        <f t="shared" si="1"/>
        <v>100</v>
      </c>
      <c r="K65" s="64"/>
      <c r="L65" s="64"/>
      <c r="M65" s="64"/>
      <c r="N65" s="64"/>
      <c r="O65" s="64"/>
      <c r="P65" s="64"/>
      <c r="Q65" s="64"/>
    </row>
    <row r="66" spans="1:17" s="65" customFormat="1" ht="14.25" x14ac:dyDescent="0.25">
      <c r="A66" s="82"/>
      <c r="B66" s="99">
        <v>3239</v>
      </c>
      <c r="C66" s="100"/>
      <c r="D66" s="101" t="s">
        <v>142</v>
      </c>
      <c r="E66" s="52">
        <f>SUM(E67:E68)</f>
        <v>307.88</v>
      </c>
      <c r="F66" s="52">
        <f t="shared" ref="F66:H66" si="24">SUM(F67:F68)</f>
        <v>0</v>
      </c>
      <c r="G66" s="52">
        <f t="shared" si="24"/>
        <v>0</v>
      </c>
      <c r="H66" s="52">
        <f t="shared" si="24"/>
        <v>0</v>
      </c>
      <c r="I66" s="591">
        <f t="shared" si="0"/>
        <v>0</v>
      </c>
      <c r="J66" s="591">
        <f t="shared" si="1"/>
        <v>0</v>
      </c>
      <c r="K66" s="64"/>
      <c r="L66" s="64"/>
      <c r="M66" s="64"/>
      <c r="N66" s="64"/>
      <c r="O66" s="64"/>
      <c r="P66" s="64"/>
      <c r="Q66" s="64"/>
    </row>
    <row r="67" spans="1:17" s="65" customFormat="1" x14ac:dyDescent="0.25">
      <c r="A67" s="82"/>
      <c r="B67" s="102">
        <v>32394</v>
      </c>
      <c r="C67" s="103"/>
      <c r="D67" s="104" t="s">
        <v>425</v>
      </c>
      <c r="E67" s="89">
        <f>'Rekapitulacija Posebni dio'!C424</f>
        <v>237.88</v>
      </c>
      <c r="F67" s="89">
        <f>'Rekapitulacija Posebni dio'!D424</f>
        <v>0</v>
      </c>
      <c r="G67" s="89">
        <f>'Rekapitulacija Posebni dio'!E424</f>
        <v>0</v>
      </c>
      <c r="H67" s="89">
        <f>'Rekapitulacija Posebni dio'!F424</f>
        <v>0</v>
      </c>
      <c r="I67" s="585">
        <f t="shared" si="0"/>
        <v>0</v>
      </c>
      <c r="J67" s="585">
        <f t="shared" si="1"/>
        <v>0</v>
      </c>
      <c r="K67" s="64"/>
      <c r="L67" s="64"/>
      <c r="M67" s="64"/>
      <c r="N67" s="64"/>
      <c r="O67" s="64"/>
      <c r="P67" s="64"/>
      <c r="Q67" s="64"/>
    </row>
    <row r="68" spans="1:17" s="65" customFormat="1" x14ac:dyDescent="0.25">
      <c r="A68" s="82"/>
      <c r="B68" s="102">
        <v>32399</v>
      </c>
      <c r="C68" s="103"/>
      <c r="D68" s="104" t="s">
        <v>305</v>
      </c>
      <c r="E68" s="89">
        <f>'Rekapitulacija Posebni dio'!C425</f>
        <v>70</v>
      </c>
      <c r="F68" s="89">
        <f>'Rekapitulacija Posebni dio'!D425</f>
        <v>0</v>
      </c>
      <c r="G68" s="89">
        <f>'Rekapitulacija Posebni dio'!E425</f>
        <v>0</v>
      </c>
      <c r="H68" s="89">
        <f>'Rekapitulacija Posebni dio'!F425</f>
        <v>0</v>
      </c>
      <c r="I68" s="585">
        <f t="shared" si="0"/>
        <v>0</v>
      </c>
      <c r="J68" s="585">
        <f t="shared" si="1"/>
        <v>0</v>
      </c>
      <c r="K68" s="64"/>
      <c r="L68" s="64"/>
      <c r="M68" s="64"/>
      <c r="N68" s="64"/>
      <c r="O68" s="64"/>
      <c r="P68" s="64"/>
      <c r="Q68" s="64"/>
    </row>
    <row r="69" spans="1:17" s="65" customFormat="1" x14ac:dyDescent="0.25">
      <c r="A69" s="82"/>
      <c r="B69" s="39" t="s">
        <v>609</v>
      </c>
      <c r="C69" s="100"/>
      <c r="D69" s="40" t="s">
        <v>127</v>
      </c>
      <c r="E69" s="89"/>
      <c r="F69" s="89"/>
      <c r="G69" s="52">
        <f>G70</f>
        <v>176000</v>
      </c>
      <c r="H69" s="52">
        <f>H70</f>
        <v>146419.04</v>
      </c>
      <c r="I69" s="591">
        <f t="shared" si="0"/>
        <v>146419.04</v>
      </c>
      <c r="J69" s="591">
        <f t="shared" si="1"/>
        <v>83.192636363636367</v>
      </c>
      <c r="K69" s="64"/>
      <c r="L69" s="64"/>
      <c r="M69" s="64"/>
      <c r="N69" s="64"/>
      <c r="O69" s="64"/>
      <c r="P69" s="64"/>
      <c r="Q69" s="64"/>
    </row>
    <row r="70" spans="1:17" s="65" customFormat="1" ht="14.25" x14ac:dyDescent="0.25">
      <c r="A70" s="82"/>
      <c r="B70" s="39" t="s">
        <v>610</v>
      </c>
      <c r="C70" s="100"/>
      <c r="D70" s="40" t="s">
        <v>142</v>
      </c>
      <c r="E70" s="52"/>
      <c r="F70" s="52"/>
      <c r="G70" s="52">
        <f>G71+G72</f>
        <v>176000</v>
      </c>
      <c r="H70" s="52">
        <f>H71+H72</f>
        <v>146419.04</v>
      </c>
      <c r="I70" s="591">
        <f t="shared" si="0"/>
        <v>146419.04</v>
      </c>
      <c r="J70" s="591">
        <f t="shared" si="1"/>
        <v>83.192636363636367</v>
      </c>
      <c r="K70" s="64"/>
      <c r="L70" s="64"/>
      <c r="M70" s="64"/>
      <c r="N70" s="64"/>
      <c r="O70" s="64"/>
      <c r="P70" s="64"/>
      <c r="Q70" s="64"/>
    </row>
    <row r="71" spans="1:17" s="65" customFormat="1" x14ac:dyDescent="0.25">
      <c r="A71" s="82"/>
      <c r="B71" s="41" t="s">
        <v>611</v>
      </c>
      <c r="C71" s="100"/>
      <c r="D71" s="42" t="s">
        <v>613</v>
      </c>
      <c r="E71" s="89">
        <f>'Rekapitulacija Posebni dio'!C428+'Rekapitulacija Posebni dio'!C481</f>
        <v>0</v>
      </c>
      <c r="F71" s="89">
        <f>'Rekapitulacija Posebni dio'!D428+'Rekapitulacija Posebni dio'!D481</f>
        <v>0</v>
      </c>
      <c r="G71" s="89">
        <f>'Rekapitulacija Posebni dio'!E428+'Rekapitulacija Posebni dio'!E481</f>
        <v>24000</v>
      </c>
      <c r="H71" s="89">
        <f>'Rekapitulacija Posebni dio'!F428+'Rekapitulacija Posebni dio'!F481</f>
        <v>9679.25</v>
      </c>
      <c r="I71" s="585">
        <f t="shared" si="0"/>
        <v>9679.25</v>
      </c>
      <c r="J71" s="585">
        <f t="shared" si="1"/>
        <v>40.330208333333331</v>
      </c>
      <c r="K71" s="64"/>
      <c r="L71" s="64"/>
      <c r="M71" s="64"/>
      <c r="N71" s="64"/>
      <c r="O71" s="64"/>
      <c r="P71" s="64"/>
      <c r="Q71" s="64"/>
    </row>
    <row r="72" spans="1:17" s="65" customFormat="1" x14ac:dyDescent="0.25">
      <c r="A72" s="82"/>
      <c r="B72" s="41" t="s">
        <v>612</v>
      </c>
      <c r="C72" s="100"/>
      <c r="D72" s="42" t="s">
        <v>614</v>
      </c>
      <c r="E72" s="89">
        <f>'Rekapitulacija Posebni dio'!C429+'Rekapitulacija Posebni dio'!C442+'Rekapitulacija Posebni dio'!C482+'Rekapitulacija Posebni dio'!C583</f>
        <v>0</v>
      </c>
      <c r="F72" s="89">
        <f>'Rekapitulacija Posebni dio'!D429+'Rekapitulacija Posebni dio'!D442+'Rekapitulacija Posebni dio'!D482+'Rekapitulacija Posebni dio'!D583</f>
        <v>0</v>
      </c>
      <c r="G72" s="89">
        <f>'Rekapitulacija Posebni dio'!E429+'Rekapitulacija Posebni dio'!E442+'Rekapitulacija Posebni dio'!E482+'Rekapitulacija Posebni dio'!E583</f>
        <v>152000</v>
      </c>
      <c r="H72" s="89">
        <f>'Rekapitulacija Posebni dio'!F429+'Rekapitulacija Posebni dio'!F442+'Rekapitulacija Posebni dio'!F482+'Rekapitulacija Posebni dio'!F583</f>
        <v>136739.79</v>
      </c>
      <c r="I72" s="585">
        <f t="shared" si="0"/>
        <v>136739.79</v>
      </c>
      <c r="J72" s="585">
        <f t="shared" si="1"/>
        <v>89.960388157894741</v>
      </c>
      <c r="K72" s="64"/>
      <c r="L72" s="64"/>
      <c r="M72" s="64"/>
      <c r="N72" s="64"/>
      <c r="O72" s="64"/>
      <c r="P72" s="64"/>
      <c r="Q72" s="64"/>
    </row>
    <row r="73" spans="1:17" s="65" customFormat="1" ht="14.25" x14ac:dyDescent="0.25">
      <c r="A73" s="82"/>
      <c r="B73" s="39" t="s">
        <v>219</v>
      </c>
      <c r="C73" s="100"/>
      <c r="D73" s="40" t="s">
        <v>144</v>
      </c>
      <c r="E73" s="52">
        <f>E74+E77+E79+E81</f>
        <v>1317.9</v>
      </c>
      <c r="F73" s="52">
        <f t="shared" ref="F73:H73" si="25">F74+F77+F79+F81</f>
        <v>0</v>
      </c>
      <c r="G73" s="52">
        <f t="shared" si="25"/>
        <v>0</v>
      </c>
      <c r="H73" s="52">
        <f t="shared" si="25"/>
        <v>6041.6200000000008</v>
      </c>
      <c r="I73" s="591">
        <f t="shared" si="0"/>
        <v>6041.6200000000008</v>
      </c>
      <c r="J73" s="591">
        <f t="shared" si="1"/>
        <v>6041.6200000000008</v>
      </c>
      <c r="K73" s="64"/>
      <c r="L73" s="64"/>
      <c r="M73" s="64"/>
      <c r="N73" s="64"/>
      <c r="O73" s="64"/>
      <c r="P73" s="64"/>
      <c r="Q73" s="64"/>
    </row>
    <row r="74" spans="1:17" s="65" customFormat="1" ht="14.25" x14ac:dyDescent="0.25">
      <c r="A74" s="82"/>
      <c r="B74" s="39" t="s">
        <v>231</v>
      </c>
      <c r="C74" s="100"/>
      <c r="D74" s="40" t="s">
        <v>147</v>
      </c>
      <c r="E74" s="52">
        <f>E75+E76</f>
        <v>250.01</v>
      </c>
      <c r="F74" s="52">
        <f t="shared" ref="F74:H74" si="26">F75+F76</f>
        <v>0</v>
      </c>
      <c r="G74" s="52">
        <f t="shared" si="26"/>
        <v>0</v>
      </c>
      <c r="H74" s="52">
        <f t="shared" si="26"/>
        <v>4594.1900000000005</v>
      </c>
      <c r="I74" s="591">
        <f t="shared" ref="I74:I137" si="27">IFERROR(H74/F74*100,H74)</f>
        <v>4594.1900000000005</v>
      </c>
      <c r="J74" s="591">
        <f t="shared" ref="J74:J137" si="28">IFERROR(H74/G74*100,H74)</f>
        <v>4594.1900000000005</v>
      </c>
      <c r="K74" s="64"/>
      <c r="L74" s="64"/>
      <c r="M74" s="64"/>
      <c r="N74" s="64"/>
      <c r="O74" s="64"/>
      <c r="P74" s="64"/>
      <c r="Q74" s="64"/>
    </row>
    <row r="75" spans="1:17" s="62" customFormat="1" x14ac:dyDescent="0.25">
      <c r="A75" s="57"/>
      <c r="B75" s="41" t="s">
        <v>501</v>
      </c>
      <c r="C75" s="103"/>
      <c r="D75" s="42" t="s">
        <v>502</v>
      </c>
      <c r="E75" s="89">
        <f>'Rekapitulacija Posebni dio'!C485</f>
        <v>0</v>
      </c>
      <c r="F75" s="89">
        <f>'Rekapitulacija Posebni dio'!D485</f>
        <v>0</v>
      </c>
      <c r="G75" s="89">
        <f>'Rekapitulacija Posebni dio'!E485</f>
        <v>0</v>
      </c>
      <c r="H75" s="89">
        <f>'Rekapitulacija Posebni dio'!F485</f>
        <v>3149.55</v>
      </c>
      <c r="I75" s="585">
        <f t="shared" si="27"/>
        <v>3149.55</v>
      </c>
      <c r="J75" s="585">
        <f t="shared" si="28"/>
        <v>3149.55</v>
      </c>
      <c r="K75" s="58"/>
      <c r="L75" s="58"/>
      <c r="M75" s="58"/>
      <c r="N75" s="58"/>
      <c r="O75" s="58"/>
      <c r="P75" s="58"/>
      <c r="Q75" s="58"/>
    </row>
    <row r="76" spans="1:17" s="65" customFormat="1" x14ac:dyDescent="0.25">
      <c r="A76" s="82"/>
      <c r="B76" s="41" t="s">
        <v>599</v>
      </c>
      <c r="C76" s="100"/>
      <c r="D76" s="42" t="s">
        <v>621</v>
      </c>
      <c r="E76" s="89">
        <f>'Rekapitulacija Posebni dio'!C486+'Rekapitulacija Posebni dio'!C432</f>
        <v>250.01</v>
      </c>
      <c r="F76" s="89">
        <f>'Rekapitulacija Posebni dio'!D486+'Rekapitulacija Posebni dio'!D432</f>
        <v>0</v>
      </c>
      <c r="G76" s="89">
        <f>'Rekapitulacija Posebni dio'!E486+'Rekapitulacija Posebni dio'!E432</f>
        <v>0</v>
      </c>
      <c r="H76" s="89">
        <f>'Rekapitulacija Posebni dio'!F486+'Rekapitulacija Posebni dio'!F432</f>
        <v>1444.64</v>
      </c>
      <c r="I76" s="585">
        <f t="shared" si="27"/>
        <v>1444.64</v>
      </c>
      <c r="J76" s="585">
        <f t="shared" si="28"/>
        <v>1444.64</v>
      </c>
      <c r="K76" s="64"/>
      <c r="L76" s="64"/>
      <c r="M76" s="64"/>
      <c r="N76" s="64"/>
      <c r="O76" s="64"/>
      <c r="P76" s="64"/>
      <c r="Q76" s="64"/>
    </row>
    <row r="77" spans="1:17" s="65" customFormat="1" ht="14.25" x14ac:dyDescent="0.25">
      <c r="A77" s="82"/>
      <c r="B77" s="39" t="s">
        <v>221</v>
      </c>
      <c r="C77" s="100"/>
      <c r="D77" s="40" t="s">
        <v>148</v>
      </c>
      <c r="E77" s="52">
        <f>E78</f>
        <v>877.58</v>
      </c>
      <c r="F77" s="52">
        <f t="shared" ref="F77:H77" si="29">F78</f>
        <v>0</v>
      </c>
      <c r="G77" s="52">
        <f t="shared" si="29"/>
        <v>0</v>
      </c>
      <c r="H77" s="52">
        <f t="shared" si="29"/>
        <v>0</v>
      </c>
      <c r="I77" s="591">
        <f t="shared" si="27"/>
        <v>0</v>
      </c>
      <c r="J77" s="591">
        <f t="shared" si="28"/>
        <v>0</v>
      </c>
      <c r="K77" s="64"/>
      <c r="L77" s="64"/>
      <c r="M77" s="64"/>
      <c r="N77" s="64"/>
      <c r="O77" s="64"/>
      <c r="P77" s="64"/>
      <c r="Q77" s="64"/>
    </row>
    <row r="78" spans="1:17" s="65" customFormat="1" x14ac:dyDescent="0.25">
      <c r="A78" s="82"/>
      <c r="B78" s="41" t="s">
        <v>532</v>
      </c>
      <c r="C78" s="100"/>
      <c r="D78" s="42" t="s">
        <v>148</v>
      </c>
      <c r="E78" s="89">
        <f>'Rekapitulacija Posebni dio'!C434</f>
        <v>877.58</v>
      </c>
      <c r="F78" s="89"/>
      <c r="G78" s="89"/>
      <c r="H78" s="89"/>
      <c r="I78" s="585">
        <f t="shared" si="27"/>
        <v>0</v>
      </c>
      <c r="J78" s="585">
        <f t="shared" si="28"/>
        <v>0</v>
      </c>
      <c r="K78" s="64"/>
      <c r="L78" s="64"/>
      <c r="M78" s="64"/>
      <c r="N78" s="64"/>
      <c r="O78" s="64"/>
      <c r="P78" s="64"/>
      <c r="Q78" s="64"/>
    </row>
    <row r="79" spans="1:17" s="65" customFormat="1" ht="14.25" x14ac:dyDescent="0.25">
      <c r="A79" s="82"/>
      <c r="B79" s="39" t="s">
        <v>323</v>
      </c>
      <c r="C79" s="100"/>
      <c r="D79" s="40" t="s">
        <v>149</v>
      </c>
      <c r="E79" s="52">
        <f>E80</f>
        <v>0</v>
      </c>
      <c r="F79" s="52">
        <f t="shared" ref="F79:H79" si="30">F80</f>
        <v>0</v>
      </c>
      <c r="G79" s="52">
        <f t="shared" si="30"/>
        <v>0</v>
      </c>
      <c r="H79" s="52">
        <f t="shared" si="30"/>
        <v>556.20000000000005</v>
      </c>
      <c r="I79" s="591">
        <f t="shared" si="27"/>
        <v>556.20000000000005</v>
      </c>
      <c r="J79" s="591">
        <f t="shared" si="28"/>
        <v>556.20000000000005</v>
      </c>
      <c r="K79" s="64"/>
      <c r="L79" s="64"/>
      <c r="M79" s="64"/>
      <c r="N79" s="64"/>
      <c r="O79" s="64"/>
      <c r="P79" s="64"/>
      <c r="Q79" s="64"/>
    </row>
    <row r="80" spans="1:17" s="65" customFormat="1" x14ac:dyDescent="0.25">
      <c r="A80" s="82"/>
      <c r="B80" s="41" t="s">
        <v>628</v>
      </c>
      <c r="C80" s="100"/>
      <c r="D80" s="42" t="s">
        <v>431</v>
      </c>
      <c r="E80" s="89">
        <f>'Rekapitulacija Posebni dio'!C488</f>
        <v>0</v>
      </c>
      <c r="F80" s="89">
        <f>'Rekapitulacija Posebni dio'!D488</f>
        <v>0</v>
      </c>
      <c r="G80" s="89">
        <f>'Rekapitulacija Posebni dio'!E488</f>
        <v>0</v>
      </c>
      <c r="H80" s="89">
        <f>'Rekapitulacija Posebni dio'!F488</f>
        <v>556.20000000000005</v>
      </c>
      <c r="I80" s="585">
        <f t="shared" si="27"/>
        <v>556.20000000000005</v>
      </c>
      <c r="J80" s="585">
        <f t="shared" si="28"/>
        <v>556.20000000000005</v>
      </c>
      <c r="K80" s="64"/>
      <c r="L80" s="64"/>
      <c r="M80" s="64"/>
      <c r="N80" s="64"/>
      <c r="O80" s="64"/>
      <c r="P80" s="64"/>
      <c r="Q80" s="64"/>
    </row>
    <row r="81" spans="1:17" s="65" customFormat="1" ht="14.25" x14ac:dyDescent="0.25">
      <c r="A81" s="82"/>
      <c r="B81" s="39" t="s">
        <v>152</v>
      </c>
      <c r="C81" s="100"/>
      <c r="D81" s="40" t="s">
        <v>144</v>
      </c>
      <c r="E81" s="52">
        <f>E82</f>
        <v>190.31</v>
      </c>
      <c r="F81" s="52">
        <f t="shared" ref="F81:H81" si="31">F82</f>
        <v>0</v>
      </c>
      <c r="G81" s="52">
        <f t="shared" si="31"/>
        <v>0</v>
      </c>
      <c r="H81" s="52">
        <f t="shared" si="31"/>
        <v>891.23</v>
      </c>
      <c r="I81" s="591">
        <f t="shared" si="27"/>
        <v>891.23</v>
      </c>
      <c r="J81" s="591">
        <f t="shared" si="28"/>
        <v>891.23</v>
      </c>
      <c r="K81" s="64"/>
      <c r="L81" s="64"/>
      <c r="M81" s="64"/>
      <c r="N81" s="64"/>
      <c r="O81" s="64"/>
      <c r="P81" s="64"/>
      <c r="Q81" s="64"/>
    </row>
    <row r="82" spans="1:17" s="65" customFormat="1" x14ac:dyDescent="0.25">
      <c r="A82" s="82"/>
      <c r="B82" s="41" t="s">
        <v>600</v>
      </c>
      <c r="C82" s="100"/>
      <c r="D82" s="42" t="s">
        <v>144</v>
      </c>
      <c r="E82" s="89">
        <f>'Rekapitulacija Posebni dio'!C436+'Rekapitulacija Posebni dio'!C489</f>
        <v>190.31</v>
      </c>
      <c r="F82" s="89">
        <f>'Rekapitulacija Posebni dio'!D436+'Rekapitulacija Posebni dio'!D489</f>
        <v>0</v>
      </c>
      <c r="G82" s="89">
        <f>'Rekapitulacija Posebni dio'!E436+'Rekapitulacija Posebni dio'!E489</f>
        <v>0</v>
      </c>
      <c r="H82" s="89">
        <f>'Rekapitulacija Posebni dio'!F436+'Rekapitulacija Posebni dio'!F489</f>
        <v>891.23</v>
      </c>
      <c r="I82" s="585">
        <f t="shared" si="27"/>
        <v>891.23</v>
      </c>
      <c r="J82" s="585">
        <f t="shared" si="28"/>
        <v>891.23</v>
      </c>
      <c r="K82" s="64"/>
      <c r="L82" s="64"/>
      <c r="M82" s="64"/>
      <c r="N82" s="64"/>
      <c r="O82" s="64"/>
      <c r="P82" s="64"/>
      <c r="Q82" s="64"/>
    </row>
    <row r="83" spans="1:17" s="65" customFormat="1" ht="14.25" x14ac:dyDescent="0.25">
      <c r="A83" s="105">
        <v>4</v>
      </c>
      <c r="B83" s="106"/>
      <c r="C83" s="107"/>
      <c r="D83" s="75" t="s">
        <v>174</v>
      </c>
      <c r="E83" s="108">
        <f>E84+E95</f>
        <v>255509.51</v>
      </c>
      <c r="F83" s="108">
        <f>F84+F95</f>
        <v>265723.70999999996</v>
      </c>
      <c r="G83" s="108">
        <f>G84+G95</f>
        <v>265276</v>
      </c>
      <c r="H83" s="108">
        <f t="shared" ref="H83" si="32">H84+H95</f>
        <v>265116</v>
      </c>
      <c r="I83" s="598">
        <f t="shared" si="27"/>
        <v>99.771300046954806</v>
      </c>
      <c r="J83" s="598">
        <f t="shared" si="28"/>
        <v>99.939685459672191</v>
      </c>
      <c r="K83" s="64"/>
      <c r="L83" s="64"/>
      <c r="M83" s="64"/>
      <c r="N83" s="64"/>
      <c r="O83" s="64"/>
      <c r="P83" s="64"/>
      <c r="Q83" s="64"/>
    </row>
    <row r="84" spans="1:17" s="62" customFormat="1" x14ac:dyDescent="0.25">
      <c r="A84" s="57"/>
      <c r="B84" s="83">
        <v>42</v>
      </c>
      <c r="C84" s="84"/>
      <c r="D84" s="85" t="s">
        <v>183</v>
      </c>
      <c r="E84" s="109">
        <f>SUM(E85)</f>
        <v>108623.04000000001</v>
      </c>
      <c r="F84" s="109">
        <f>SUM(F85)</f>
        <v>135136.04999999999</v>
      </c>
      <c r="G84" s="109">
        <f>SUM(G85)</f>
        <v>180994.84</v>
      </c>
      <c r="H84" s="109">
        <f t="shared" ref="H84" si="33">SUM(H85)</f>
        <v>180994.84</v>
      </c>
      <c r="I84" s="594">
        <f t="shared" si="27"/>
        <v>133.93527485818922</v>
      </c>
      <c r="J84" s="594">
        <f t="shared" si="28"/>
        <v>100</v>
      </c>
      <c r="K84" s="58"/>
      <c r="L84" s="58"/>
      <c r="M84" s="58"/>
      <c r="N84" s="58"/>
      <c r="O84" s="58"/>
      <c r="P84" s="58"/>
      <c r="Q84" s="58"/>
    </row>
    <row r="85" spans="1:17" s="62" customFormat="1" x14ac:dyDescent="0.25">
      <c r="A85" s="57"/>
      <c r="B85" s="87">
        <v>422</v>
      </c>
      <c r="C85" s="57"/>
      <c r="D85" s="82" t="s">
        <v>184</v>
      </c>
      <c r="E85" s="52">
        <f>E86+E89+E91+E93</f>
        <v>108623.04000000001</v>
      </c>
      <c r="F85" s="52">
        <f>F86+F89+F91+F93</f>
        <v>135136.04999999999</v>
      </c>
      <c r="G85" s="52">
        <f>G86+G89+G91+G93</f>
        <v>180994.84</v>
      </c>
      <c r="H85" s="52">
        <f>H86+H89+H91+H93</f>
        <v>180994.84</v>
      </c>
      <c r="I85" s="591">
        <f t="shared" si="27"/>
        <v>133.93527485818922</v>
      </c>
      <c r="J85" s="591">
        <f t="shared" si="28"/>
        <v>100</v>
      </c>
      <c r="K85" s="58"/>
      <c r="L85" s="58"/>
      <c r="M85" s="58"/>
      <c r="N85" s="58"/>
      <c r="O85" s="58"/>
      <c r="P85" s="58"/>
      <c r="Q85" s="58"/>
    </row>
    <row r="86" spans="1:17" s="62" customFormat="1" x14ac:dyDescent="0.25">
      <c r="A86" s="57"/>
      <c r="B86" s="87" t="s">
        <v>185</v>
      </c>
      <c r="C86" s="82"/>
      <c r="D86" s="82" t="s">
        <v>186</v>
      </c>
      <c r="E86" s="52">
        <f>SUM(E87:E88)</f>
        <v>950.63</v>
      </c>
      <c r="F86" s="52">
        <f>SUM(F87:F88)</f>
        <v>27345.38</v>
      </c>
      <c r="G86" s="52">
        <f>SUM(G87:G88)</f>
        <v>315</v>
      </c>
      <c r="H86" s="52">
        <f t="shared" ref="H86" si="34">SUM(H87:H88)</f>
        <v>315</v>
      </c>
      <c r="I86" s="591">
        <f t="shared" si="27"/>
        <v>1.1519313317276993</v>
      </c>
      <c r="J86" s="591">
        <f t="shared" si="28"/>
        <v>100</v>
      </c>
      <c r="K86" s="58"/>
      <c r="L86" s="58"/>
      <c r="M86" s="58"/>
      <c r="N86" s="58"/>
      <c r="O86" s="58"/>
      <c r="P86" s="58"/>
      <c r="Q86" s="58"/>
    </row>
    <row r="87" spans="1:17" s="62" customFormat="1" x14ac:dyDescent="0.25">
      <c r="A87" s="57"/>
      <c r="B87" s="88" t="s">
        <v>513</v>
      </c>
      <c r="C87" s="57"/>
      <c r="D87" s="57" t="s">
        <v>444</v>
      </c>
      <c r="E87" s="89">
        <f>'Rekapitulacija Posebni dio'!C531</f>
        <v>370.63</v>
      </c>
      <c r="F87" s="89">
        <f>'Rekapitulacija Posebni dio'!D531</f>
        <v>5865.38</v>
      </c>
      <c r="G87" s="89">
        <f>'Rekapitulacija Posebni dio'!E531</f>
        <v>0</v>
      </c>
      <c r="H87" s="89">
        <f>'Rekapitulacija Posebni dio'!F531</f>
        <v>0</v>
      </c>
      <c r="I87" s="585">
        <f t="shared" si="27"/>
        <v>0</v>
      </c>
      <c r="J87" s="585">
        <f t="shared" si="28"/>
        <v>0</v>
      </c>
      <c r="K87" s="58"/>
      <c r="L87" s="58"/>
      <c r="M87" s="58"/>
      <c r="N87" s="58"/>
      <c r="O87" s="58"/>
      <c r="P87" s="58"/>
      <c r="Q87" s="58"/>
    </row>
    <row r="88" spans="1:17" s="62" customFormat="1" x14ac:dyDescent="0.25">
      <c r="A88" s="57"/>
      <c r="B88" s="88" t="s">
        <v>507</v>
      </c>
      <c r="C88" s="57"/>
      <c r="D88" s="57" t="s">
        <v>445</v>
      </c>
      <c r="E88" s="89">
        <f>'Rekapitulacija Posebni dio'!C532</f>
        <v>580</v>
      </c>
      <c r="F88" s="89">
        <f>'Rekapitulacija Posebni dio'!D532</f>
        <v>21480</v>
      </c>
      <c r="G88" s="89">
        <f>'Rekapitulacija Posebni dio'!E532</f>
        <v>315</v>
      </c>
      <c r="H88" s="89">
        <f>'Rekapitulacija Posebni dio'!F532</f>
        <v>315</v>
      </c>
      <c r="I88" s="585">
        <f t="shared" si="27"/>
        <v>1.4664804469273742</v>
      </c>
      <c r="J88" s="585">
        <f t="shared" si="28"/>
        <v>100</v>
      </c>
      <c r="K88" s="58"/>
      <c r="L88" s="58"/>
      <c r="M88" s="58"/>
      <c r="N88" s="58"/>
      <c r="O88" s="58"/>
      <c r="P88" s="58"/>
      <c r="Q88" s="58"/>
    </row>
    <row r="89" spans="1:17" s="62" customFormat="1" x14ac:dyDescent="0.25">
      <c r="A89" s="57"/>
      <c r="B89" s="87" t="s">
        <v>228</v>
      </c>
      <c r="C89" s="57"/>
      <c r="D89" s="51" t="s">
        <v>189</v>
      </c>
      <c r="E89" s="52">
        <f>SUM(E90)</f>
        <v>3832.41</v>
      </c>
      <c r="F89" s="52">
        <f>SUM(F90)</f>
        <v>7518</v>
      </c>
      <c r="G89" s="52">
        <f>SUM(G90)</f>
        <v>2816.73</v>
      </c>
      <c r="H89" s="52">
        <f>SUM(H90)</f>
        <v>2816.73</v>
      </c>
      <c r="I89" s="591">
        <f t="shared" si="27"/>
        <v>37.466480446927378</v>
      </c>
      <c r="J89" s="591">
        <f t="shared" si="28"/>
        <v>100</v>
      </c>
      <c r="K89" s="58"/>
      <c r="L89" s="58"/>
      <c r="M89" s="58"/>
      <c r="N89" s="58"/>
      <c r="O89" s="58"/>
      <c r="P89" s="58"/>
      <c r="Q89" s="58"/>
    </row>
    <row r="90" spans="1:17" s="62" customFormat="1" x14ac:dyDescent="0.25">
      <c r="A90" s="57"/>
      <c r="B90" s="88" t="s">
        <v>508</v>
      </c>
      <c r="C90" s="57"/>
      <c r="D90" s="56" t="s">
        <v>448</v>
      </c>
      <c r="E90" s="89">
        <f>'Rekapitulacija Posebni dio'!C534</f>
        <v>3832.41</v>
      </c>
      <c r="F90" s="89">
        <f>'Rekapitulacija Posebni dio'!D534</f>
        <v>7518</v>
      </c>
      <c r="G90" s="89">
        <f>'Rekapitulacija Posebni dio'!E534</f>
        <v>2816.73</v>
      </c>
      <c r="H90" s="89">
        <f>'Rekapitulacija Posebni dio'!F534</f>
        <v>2816.73</v>
      </c>
      <c r="I90" s="585">
        <f t="shared" si="27"/>
        <v>37.466480446927378</v>
      </c>
      <c r="J90" s="585">
        <f t="shared" si="28"/>
        <v>100</v>
      </c>
      <c r="K90" s="58"/>
      <c r="L90" s="58"/>
      <c r="M90" s="58"/>
      <c r="N90" s="58"/>
      <c r="O90" s="58"/>
      <c r="P90" s="58"/>
      <c r="Q90" s="58"/>
    </row>
    <row r="91" spans="1:17" s="62" customFormat="1" x14ac:dyDescent="0.25">
      <c r="A91" s="57"/>
      <c r="B91" s="99">
        <v>4224</v>
      </c>
      <c r="C91" s="92"/>
      <c r="D91" s="54" t="s">
        <v>190</v>
      </c>
      <c r="E91" s="52">
        <f>SUM(E92)</f>
        <v>59927.5</v>
      </c>
      <c r="F91" s="52">
        <f>SUM(F92)</f>
        <v>62365.84</v>
      </c>
      <c r="G91" s="52">
        <f>SUM(G92)</f>
        <v>146018.10999999999</v>
      </c>
      <c r="H91" s="52">
        <f t="shared" ref="H91" si="35">SUM(H92)</f>
        <v>146018.10999999999</v>
      </c>
      <c r="I91" s="591">
        <f t="shared" si="27"/>
        <v>234.13155342732495</v>
      </c>
      <c r="J91" s="591">
        <f t="shared" si="28"/>
        <v>100</v>
      </c>
      <c r="K91" s="58"/>
      <c r="L91" s="58"/>
      <c r="M91" s="58"/>
      <c r="N91" s="58"/>
      <c r="O91" s="58"/>
      <c r="P91" s="58"/>
      <c r="Q91" s="58"/>
    </row>
    <row r="92" spans="1:17" s="62" customFormat="1" x14ac:dyDescent="0.25">
      <c r="A92" s="110"/>
      <c r="B92" s="102">
        <v>42241</v>
      </c>
      <c r="C92" s="94"/>
      <c r="D92" s="55" t="s">
        <v>449</v>
      </c>
      <c r="E92" s="89">
        <f>'Rekapitulacija Posebni dio'!C536</f>
        <v>59927.5</v>
      </c>
      <c r="F92" s="89">
        <f>'Rekapitulacija Posebni dio'!D536</f>
        <v>62365.84</v>
      </c>
      <c r="G92" s="89">
        <f>'Rekapitulacija Posebni dio'!E536</f>
        <v>146018.10999999999</v>
      </c>
      <c r="H92" s="89">
        <f>'Rekapitulacija Posebni dio'!F536</f>
        <v>146018.10999999999</v>
      </c>
      <c r="I92" s="585">
        <f t="shared" si="27"/>
        <v>234.13155342732495</v>
      </c>
      <c r="J92" s="585">
        <f t="shared" si="28"/>
        <v>100</v>
      </c>
      <c r="K92" s="58"/>
      <c r="L92" s="58"/>
      <c r="M92" s="58"/>
      <c r="N92" s="58"/>
      <c r="O92" s="58"/>
      <c r="P92" s="58"/>
      <c r="Q92" s="58"/>
    </row>
    <row r="93" spans="1:17" s="62" customFormat="1" x14ac:dyDescent="0.25">
      <c r="A93" s="110"/>
      <c r="B93" s="99">
        <v>4225</v>
      </c>
      <c r="C93" s="92"/>
      <c r="D93" s="54" t="s">
        <v>191</v>
      </c>
      <c r="E93" s="52">
        <f>SUM(E94)</f>
        <v>43912.5</v>
      </c>
      <c r="F93" s="52">
        <f>SUM(F94)</f>
        <v>37906.83</v>
      </c>
      <c r="G93" s="52">
        <f>SUM(G94)</f>
        <v>31845</v>
      </c>
      <c r="H93" s="52">
        <f t="shared" ref="H93" si="36">SUM(H94)</f>
        <v>31845</v>
      </c>
      <c r="I93" s="591">
        <f t="shared" si="27"/>
        <v>84.008607419823818</v>
      </c>
      <c r="J93" s="591">
        <f t="shared" si="28"/>
        <v>100</v>
      </c>
      <c r="K93" s="58"/>
      <c r="L93" s="58"/>
      <c r="M93" s="58"/>
      <c r="N93" s="58"/>
      <c r="O93" s="58"/>
      <c r="P93" s="58"/>
      <c r="Q93" s="58"/>
    </row>
    <row r="94" spans="1:17" s="62" customFormat="1" x14ac:dyDescent="0.25">
      <c r="A94" s="110"/>
      <c r="B94" s="102">
        <v>42259</v>
      </c>
      <c r="C94" s="94"/>
      <c r="D94" s="55" t="s">
        <v>619</v>
      </c>
      <c r="E94" s="89">
        <f>'Rekapitulacija Posebni dio'!C538</f>
        <v>43912.5</v>
      </c>
      <c r="F94" s="89">
        <f>'Rekapitulacija Posebni dio'!D538</f>
        <v>37906.83</v>
      </c>
      <c r="G94" s="89">
        <f>'Rekapitulacija Posebni dio'!E538</f>
        <v>31845</v>
      </c>
      <c r="H94" s="89">
        <f>'Rekapitulacija Posebni dio'!F538</f>
        <v>31845</v>
      </c>
      <c r="I94" s="585">
        <f t="shared" si="27"/>
        <v>84.008607419823818</v>
      </c>
      <c r="J94" s="585">
        <f t="shared" si="28"/>
        <v>100</v>
      </c>
      <c r="K94" s="58"/>
      <c r="L94" s="58"/>
      <c r="M94" s="58"/>
      <c r="N94" s="58"/>
      <c r="O94" s="58"/>
      <c r="P94" s="58"/>
      <c r="Q94" s="58"/>
    </row>
    <row r="95" spans="1:17" s="62" customFormat="1" x14ac:dyDescent="0.25">
      <c r="A95" s="110"/>
      <c r="B95" s="83" t="s">
        <v>196</v>
      </c>
      <c r="C95" s="84"/>
      <c r="D95" s="111" t="s">
        <v>197</v>
      </c>
      <c r="E95" s="109">
        <f>E96</f>
        <v>146886.47</v>
      </c>
      <c r="F95" s="109">
        <f>F96</f>
        <v>130587.66</v>
      </c>
      <c r="G95" s="109">
        <f>G96</f>
        <v>84281.16</v>
      </c>
      <c r="H95" s="109">
        <f t="shared" ref="H95" si="37">H96</f>
        <v>84121.16</v>
      </c>
      <c r="I95" s="594">
        <f t="shared" si="27"/>
        <v>64.417388289215069</v>
      </c>
      <c r="J95" s="594">
        <f t="shared" si="28"/>
        <v>99.810159233688765</v>
      </c>
      <c r="K95" s="58"/>
      <c r="L95" s="58"/>
      <c r="M95" s="58"/>
      <c r="N95" s="58"/>
      <c r="O95" s="58"/>
      <c r="P95" s="58"/>
      <c r="Q95" s="58"/>
    </row>
    <row r="96" spans="1:17" s="62" customFormat="1" x14ac:dyDescent="0.25">
      <c r="A96" s="110"/>
      <c r="B96" s="87" t="s">
        <v>198</v>
      </c>
      <c r="C96" s="57"/>
      <c r="D96" s="82" t="s">
        <v>199</v>
      </c>
      <c r="E96" s="52">
        <f t="shared" ref="E96:G97" si="38">SUM(E97)</f>
        <v>146886.47</v>
      </c>
      <c r="F96" s="52">
        <f t="shared" si="38"/>
        <v>130587.66</v>
      </c>
      <c r="G96" s="52">
        <f t="shared" si="38"/>
        <v>84281.16</v>
      </c>
      <c r="H96" s="52">
        <f t="shared" ref="H96:H97" si="39">SUM(H97)</f>
        <v>84121.16</v>
      </c>
      <c r="I96" s="591">
        <f t="shared" si="27"/>
        <v>64.417388289215069</v>
      </c>
      <c r="J96" s="591">
        <f t="shared" si="28"/>
        <v>99.810159233688765</v>
      </c>
      <c r="K96" s="58"/>
      <c r="L96" s="58"/>
      <c r="M96" s="58"/>
      <c r="N96" s="58"/>
      <c r="O96" s="58"/>
      <c r="P96" s="58"/>
      <c r="Q96" s="58"/>
    </row>
    <row r="97" spans="1:17" s="62" customFormat="1" x14ac:dyDescent="0.25">
      <c r="A97" s="110"/>
      <c r="B97" s="88" t="s">
        <v>200</v>
      </c>
      <c r="C97" s="57"/>
      <c r="D97" s="57" t="s">
        <v>199</v>
      </c>
      <c r="E97" s="52">
        <f t="shared" si="38"/>
        <v>146886.47</v>
      </c>
      <c r="F97" s="52">
        <f t="shared" si="38"/>
        <v>130587.66</v>
      </c>
      <c r="G97" s="52">
        <f t="shared" si="38"/>
        <v>84281.16</v>
      </c>
      <c r="H97" s="52">
        <f t="shared" si="39"/>
        <v>84121.16</v>
      </c>
      <c r="I97" s="591">
        <f t="shared" si="27"/>
        <v>64.417388289215069</v>
      </c>
      <c r="J97" s="591">
        <f t="shared" si="28"/>
        <v>99.810159233688765</v>
      </c>
      <c r="K97" s="58"/>
      <c r="L97" s="58"/>
      <c r="M97" s="58"/>
      <c r="N97" s="58"/>
      <c r="O97" s="58"/>
      <c r="P97" s="58"/>
      <c r="Q97" s="58"/>
    </row>
    <row r="98" spans="1:17" s="62" customFormat="1" x14ac:dyDescent="0.25">
      <c r="A98" s="110"/>
      <c r="B98" s="88" t="s">
        <v>494</v>
      </c>
      <c r="C98" s="57"/>
      <c r="D98" s="57" t="s">
        <v>199</v>
      </c>
      <c r="E98" s="89">
        <f>'Rekapitulacija Posebni dio'!C542</f>
        <v>146886.47</v>
      </c>
      <c r="F98" s="89">
        <f>'Rekapitulacija Posebni dio'!D542</f>
        <v>130587.66</v>
      </c>
      <c r="G98" s="89">
        <f>'Rekapitulacija Posebni dio'!E542</f>
        <v>84281.16</v>
      </c>
      <c r="H98" s="89">
        <f>'Rekapitulacija Posebni dio'!F542</f>
        <v>84121.16</v>
      </c>
      <c r="I98" s="585">
        <f t="shared" si="27"/>
        <v>64.417388289215069</v>
      </c>
      <c r="J98" s="585">
        <f t="shared" si="28"/>
        <v>99.810159233688765</v>
      </c>
      <c r="K98" s="58"/>
      <c r="L98" s="58"/>
      <c r="M98" s="58"/>
      <c r="N98" s="58"/>
      <c r="O98" s="58"/>
      <c r="P98" s="58"/>
      <c r="Q98" s="58"/>
    </row>
    <row r="99" spans="1:17" s="62" customFormat="1" x14ac:dyDescent="0.25">
      <c r="A99" s="71"/>
      <c r="B99" s="71"/>
      <c r="C99" s="70">
        <v>11</v>
      </c>
      <c r="D99" s="112" t="s">
        <v>15</v>
      </c>
      <c r="E99" s="73">
        <f>E11+E83</f>
        <v>397160.43</v>
      </c>
      <c r="F99" s="73">
        <f>F11+F83</f>
        <v>369361.73</v>
      </c>
      <c r="G99" s="73">
        <f>G11+G83</f>
        <v>608264.02</v>
      </c>
      <c r="H99" s="73">
        <f>H11+H83</f>
        <v>618103.51</v>
      </c>
      <c r="I99" s="629">
        <f t="shared" si="27"/>
        <v>167.34367959560944</v>
      </c>
      <c r="J99" s="629">
        <f t="shared" si="28"/>
        <v>101.61763472381615</v>
      </c>
      <c r="K99" s="74"/>
      <c r="L99" s="58"/>
      <c r="M99" s="58"/>
      <c r="N99" s="58"/>
      <c r="O99" s="58"/>
      <c r="P99" s="58"/>
      <c r="Q99" s="58"/>
    </row>
    <row r="100" spans="1:17" s="62" customFormat="1" x14ac:dyDescent="0.25">
      <c r="A100" s="79" t="s">
        <v>86</v>
      </c>
      <c r="B100" s="79"/>
      <c r="C100" s="80"/>
      <c r="D100" s="72" t="s">
        <v>87</v>
      </c>
      <c r="E100" s="81">
        <f>E101+E124+E221+E232+E236+E241</f>
        <v>4756406.2405000003</v>
      </c>
      <c r="F100" s="81">
        <f>F101+F124+F221+F232+F236+F241</f>
        <v>3883930.39</v>
      </c>
      <c r="G100" s="81">
        <f>G101+G124+G221+G232+G236+G241</f>
        <v>3580125.3000000003</v>
      </c>
      <c r="H100" s="81">
        <f t="shared" ref="H100" si="40">H101+H124+H221+H232+H236+H241</f>
        <v>4374707.8499999996</v>
      </c>
      <c r="I100" s="606">
        <f t="shared" si="27"/>
        <v>112.63610339834128</v>
      </c>
      <c r="J100" s="606">
        <f t="shared" si="28"/>
        <v>122.19426649676197</v>
      </c>
      <c r="K100" s="58"/>
      <c r="L100" s="58"/>
      <c r="M100" s="58"/>
      <c r="N100" s="58"/>
      <c r="O100" s="58"/>
      <c r="P100" s="58"/>
      <c r="Q100" s="58"/>
    </row>
    <row r="101" spans="1:17" s="62" customFormat="1" x14ac:dyDescent="0.25">
      <c r="A101" s="82"/>
      <c r="B101" s="83">
        <v>31</v>
      </c>
      <c r="C101" s="84"/>
      <c r="D101" s="85" t="s">
        <v>88</v>
      </c>
      <c r="E101" s="86">
        <f>E102+E111+E119</f>
        <v>4058051.56</v>
      </c>
      <c r="F101" s="86">
        <f>F102+F111+F119</f>
        <v>3042112.29</v>
      </c>
      <c r="G101" s="86">
        <f>G102+G111+G119</f>
        <v>3002112.29</v>
      </c>
      <c r="H101" s="86">
        <f t="shared" ref="H101" si="41">H102+H111+H119</f>
        <v>3953169.4800000004</v>
      </c>
      <c r="I101" s="587">
        <f t="shared" si="27"/>
        <v>129.94817755395874</v>
      </c>
      <c r="J101" s="587">
        <f t="shared" si="28"/>
        <v>131.67960083198622</v>
      </c>
      <c r="K101" s="58"/>
      <c r="L101" s="58"/>
      <c r="M101" s="58"/>
      <c r="N101" s="58"/>
      <c r="O101" s="58"/>
      <c r="P101" s="58"/>
      <c r="Q101" s="58"/>
    </row>
    <row r="102" spans="1:17" s="65" customFormat="1" x14ac:dyDescent="0.25">
      <c r="A102" s="82"/>
      <c r="B102" s="87">
        <v>311</v>
      </c>
      <c r="C102" s="57"/>
      <c r="D102" s="82" t="s">
        <v>89</v>
      </c>
      <c r="E102" s="52">
        <f>E103+E107+E109</f>
        <v>3379334.8000000003</v>
      </c>
      <c r="F102" s="52">
        <f>F103+F107+F109</f>
        <v>2505491.41</v>
      </c>
      <c r="G102" s="52">
        <f>G103+G107+G109</f>
        <v>2505491.41</v>
      </c>
      <c r="H102" s="52">
        <f t="shared" ref="H102" si="42">H103+H107+H109</f>
        <v>3314839.6600000006</v>
      </c>
      <c r="I102" s="591">
        <f t="shared" si="27"/>
        <v>132.30297444923193</v>
      </c>
      <c r="J102" s="591">
        <f t="shared" si="28"/>
        <v>132.30297444923193</v>
      </c>
      <c r="K102" s="64"/>
      <c r="L102" s="64"/>
      <c r="M102" s="64"/>
      <c r="N102" s="64"/>
      <c r="O102" s="64"/>
      <c r="P102" s="64"/>
      <c r="Q102" s="64"/>
    </row>
    <row r="103" spans="1:17" s="65" customFormat="1" x14ac:dyDescent="0.25">
      <c r="A103" s="82"/>
      <c r="B103" s="87">
        <v>3111</v>
      </c>
      <c r="C103" s="57"/>
      <c r="D103" s="82" t="s">
        <v>90</v>
      </c>
      <c r="E103" s="52">
        <f>SUM(E104:E105)</f>
        <v>3257753.0700000003</v>
      </c>
      <c r="F103" s="52">
        <f>SUM(F104:F105)</f>
        <v>2456383.9700000002</v>
      </c>
      <c r="G103" s="52">
        <f>SUM(G104:G105)</f>
        <v>2456383.9700000002</v>
      </c>
      <c r="H103" s="52">
        <f t="shared" ref="H103" si="43">SUM(H104:H105)</f>
        <v>3214978.0700000008</v>
      </c>
      <c r="I103" s="591">
        <f t="shared" si="27"/>
        <v>130.88255375644715</v>
      </c>
      <c r="J103" s="591">
        <f t="shared" si="28"/>
        <v>130.88255375644715</v>
      </c>
      <c r="K103" s="64"/>
      <c r="L103" s="64"/>
      <c r="M103" s="64"/>
      <c r="N103" s="64"/>
      <c r="O103" s="64"/>
      <c r="P103" s="64"/>
      <c r="Q103" s="64"/>
    </row>
    <row r="104" spans="1:17" s="65" customFormat="1" x14ac:dyDescent="0.25">
      <c r="A104" s="82"/>
      <c r="B104" s="88" t="s">
        <v>465</v>
      </c>
      <c r="C104" s="57"/>
      <c r="D104" s="57" t="s">
        <v>90</v>
      </c>
      <c r="E104" s="89">
        <f>'Rekapitulacija Posebni dio'!C12</f>
        <v>3256037.08</v>
      </c>
      <c r="F104" s="89">
        <f>'Rekapitulacija Posebni dio'!D12</f>
        <v>2451383.9700000002</v>
      </c>
      <c r="G104" s="89">
        <f>'Rekapitulacija Posebni dio'!E12</f>
        <v>2451383.9700000002</v>
      </c>
      <c r="H104" s="89">
        <f>'Rekapitulacija Posebni dio'!F12</f>
        <v>3214978.0700000008</v>
      </c>
      <c r="I104" s="585">
        <f t="shared" si="27"/>
        <v>131.14951020912486</v>
      </c>
      <c r="J104" s="585">
        <f t="shared" si="28"/>
        <v>131.14951020912486</v>
      </c>
      <c r="K104" s="64"/>
      <c r="L104" s="64"/>
      <c r="M104" s="64"/>
      <c r="N104" s="64"/>
      <c r="O104" s="64"/>
      <c r="P104" s="64"/>
      <c r="Q104" s="64"/>
    </row>
    <row r="105" spans="1:17" s="91" customFormat="1" x14ac:dyDescent="0.25">
      <c r="A105" s="57"/>
      <c r="B105" s="88" t="s">
        <v>466</v>
      </c>
      <c r="C105" s="57"/>
      <c r="D105" s="57" t="s">
        <v>380</v>
      </c>
      <c r="E105" s="89">
        <f>'Rekapitulacija Posebni dio'!C13</f>
        <v>1715.99</v>
      </c>
      <c r="F105" s="89">
        <f>'Rekapitulacija Posebni dio'!D13</f>
        <v>5000</v>
      </c>
      <c r="G105" s="89">
        <f>'Rekapitulacija Posebni dio'!E13</f>
        <v>5000</v>
      </c>
      <c r="H105" s="89">
        <f>'Rekapitulacija Posebni dio'!F13</f>
        <v>0</v>
      </c>
      <c r="I105" s="585">
        <f t="shared" si="27"/>
        <v>0</v>
      </c>
      <c r="J105" s="585">
        <f t="shared" si="28"/>
        <v>0</v>
      </c>
      <c r="K105" s="90"/>
      <c r="L105" s="90"/>
      <c r="M105" s="90"/>
      <c r="N105" s="90"/>
      <c r="O105" s="90"/>
      <c r="P105" s="90"/>
      <c r="Q105" s="90"/>
    </row>
    <row r="106" spans="1:17" s="91" customFormat="1" x14ac:dyDescent="0.25">
      <c r="A106" s="57"/>
      <c r="B106" s="87" t="s">
        <v>91</v>
      </c>
      <c r="C106" s="82"/>
      <c r="D106" s="82" t="s">
        <v>92</v>
      </c>
      <c r="E106" s="52"/>
      <c r="F106" s="52"/>
      <c r="G106" s="52"/>
      <c r="H106" s="52"/>
      <c r="I106" s="591">
        <f t="shared" si="27"/>
        <v>0</v>
      </c>
      <c r="J106" s="591">
        <f t="shared" si="28"/>
        <v>0</v>
      </c>
      <c r="K106" s="90"/>
      <c r="L106" s="90"/>
      <c r="M106" s="90"/>
      <c r="N106" s="90"/>
      <c r="O106" s="90"/>
      <c r="P106" s="90"/>
      <c r="Q106" s="90"/>
    </row>
    <row r="107" spans="1:17" s="91" customFormat="1" x14ac:dyDescent="0.25">
      <c r="A107" s="57"/>
      <c r="B107" s="87" t="s">
        <v>93</v>
      </c>
      <c r="C107" s="82"/>
      <c r="D107" s="82" t="s">
        <v>94</v>
      </c>
      <c r="E107" s="52">
        <f>SUM(E108)</f>
        <v>79831.87</v>
      </c>
      <c r="F107" s="52">
        <f>SUM(F108)</f>
        <v>49107.44</v>
      </c>
      <c r="G107" s="52">
        <f>SUM(G108)</f>
        <v>49107.44</v>
      </c>
      <c r="H107" s="52">
        <f t="shared" ref="H107" si="44">SUM(H108)</f>
        <v>99861.59</v>
      </c>
      <c r="I107" s="591">
        <f t="shared" si="27"/>
        <v>203.35328007324347</v>
      </c>
      <c r="J107" s="591">
        <f t="shared" si="28"/>
        <v>203.35328007324347</v>
      </c>
      <c r="K107" s="90"/>
      <c r="L107" s="90"/>
      <c r="M107" s="90"/>
      <c r="N107" s="90"/>
      <c r="O107" s="90"/>
      <c r="P107" s="90"/>
      <c r="Q107" s="90"/>
    </row>
    <row r="108" spans="1:17" s="91" customFormat="1" x14ac:dyDescent="0.25">
      <c r="A108" s="57"/>
      <c r="B108" s="88" t="s">
        <v>467</v>
      </c>
      <c r="C108" s="57"/>
      <c r="D108" s="57" t="s">
        <v>94</v>
      </c>
      <c r="E108" s="89">
        <f>'Rekapitulacija Posebni dio'!C16</f>
        <v>79831.87</v>
      </c>
      <c r="F108" s="89">
        <f>'Rekapitulacija Posebni dio'!D16</f>
        <v>49107.44</v>
      </c>
      <c r="G108" s="89">
        <f>'Rekapitulacija Posebni dio'!E16</f>
        <v>49107.44</v>
      </c>
      <c r="H108" s="89">
        <f>'Rekapitulacija Posebni dio'!F16</f>
        <v>99861.59</v>
      </c>
      <c r="I108" s="585">
        <f t="shared" si="27"/>
        <v>203.35328007324347</v>
      </c>
      <c r="J108" s="585">
        <f t="shared" si="28"/>
        <v>203.35328007324347</v>
      </c>
      <c r="K108" s="90"/>
      <c r="L108" s="90"/>
      <c r="M108" s="90"/>
      <c r="N108" s="90"/>
      <c r="O108" s="90"/>
      <c r="P108" s="90"/>
      <c r="Q108" s="90"/>
    </row>
    <row r="109" spans="1:17" s="91" customFormat="1" x14ac:dyDescent="0.25">
      <c r="A109" s="57"/>
      <c r="B109" s="87" t="s">
        <v>95</v>
      </c>
      <c r="C109" s="82"/>
      <c r="D109" s="82" t="s">
        <v>96</v>
      </c>
      <c r="E109" s="52">
        <f>SUM(E110)</f>
        <v>41749.86</v>
      </c>
      <c r="F109" s="52">
        <f>SUM(F110)</f>
        <v>0</v>
      </c>
      <c r="G109" s="52">
        <f>SUM(G110)</f>
        <v>0</v>
      </c>
      <c r="H109" s="52">
        <f t="shared" ref="H109" si="45">SUM(H110)</f>
        <v>0</v>
      </c>
      <c r="I109" s="591">
        <f t="shared" si="27"/>
        <v>0</v>
      </c>
      <c r="J109" s="591">
        <f t="shared" si="28"/>
        <v>0</v>
      </c>
      <c r="K109" s="90"/>
      <c r="L109" s="90"/>
      <c r="M109" s="90"/>
      <c r="N109" s="90"/>
      <c r="O109" s="90"/>
      <c r="P109" s="90"/>
      <c r="Q109" s="90"/>
    </row>
    <row r="110" spans="1:17" s="91" customFormat="1" x14ac:dyDescent="0.25">
      <c r="A110" s="57"/>
      <c r="B110" s="88" t="s">
        <v>468</v>
      </c>
      <c r="C110" s="57"/>
      <c r="D110" s="57" t="s">
        <v>96</v>
      </c>
      <c r="E110" s="89">
        <f>'Rekapitulacija Posebni dio'!C18</f>
        <v>41749.86</v>
      </c>
      <c r="F110" s="89">
        <f>'Rekapitulacija Posebni dio'!D18</f>
        <v>0</v>
      </c>
      <c r="G110" s="89">
        <f>'Rekapitulacija Posebni dio'!E18</f>
        <v>0</v>
      </c>
      <c r="H110" s="89">
        <f>'Rekapitulacija Posebni dio'!F18</f>
        <v>0</v>
      </c>
      <c r="I110" s="585">
        <f t="shared" si="27"/>
        <v>0</v>
      </c>
      <c r="J110" s="585">
        <f t="shared" si="28"/>
        <v>0</v>
      </c>
      <c r="K110" s="90"/>
      <c r="L110" s="90"/>
      <c r="M110" s="90"/>
      <c r="N110" s="90"/>
      <c r="O110" s="90"/>
      <c r="P110" s="90"/>
      <c r="Q110" s="90"/>
    </row>
    <row r="111" spans="1:17" s="114" customFormat="1" x14ac:dyDescent="0.25">
      <c r="A111" s="82"/>
      <c r="B111" s="87" t="s">
        <v>97</v>
      </c>
      <c r="C111" s="82"/>
      <c r="D111" s="82" t="s">
        <v>98</v>
      </c>
      <c r="E111" s="52">
        <f>SUM(E112)</f>
        <v>142684.44</v>
      </c>
      <c r="F111" s="52">
        <f>SUM(F112)</f>
        <v>123214.88</v>
      </c>
      <c r="G111" s="52">
        <f>SUM(G112)</f>
        <v>123214.88</v>
      </c>
      <c r="H111" s="52">
        <f t="shared" ref="H111" si="46">SUM(H112)</f>
        <v>127637.11</v>
      </c>
      <c r="I111" s="591">
        <f t="shared" si="27"/>
        <v>103.58903892127313</v>
      </c>
      <c r="J111" s="591">
        <f t="shared" si="28"/>
        <v>103.58903892127313</v>
      </c>
      <c r="K111" s="113"/>
      <c r="L111" s="113"/>
      <c r="M111" s="113"/>
      <c r="N111" s="113"/>
      <c r="O111" s="113"/>
      <c r="P111" s="113"/>
      <c r="Q111" s="113"/>
    </row>
    <row r="112" spans="1:17" s="114" customFormat="1" x14ac:dyDescent="0.25">
      <c r="A112" s="82"/>
      <c r="B112" s="87" t="s">
        <v>99</v>
      </c>
      <c r="C112" s="82"/>
      <c r="D112" s="82" t="s">
        <v>98</v>
      </c>
      <c r="E112" s="52">
        <f>SUM(E113:E118)</f>
        <v>142684.44</v>
      </c>
      <c r="F112" s="52">
        <f>SUM(F113:F118)</f>
        <v>123214.88</v>
      </c>
      <c r="G112" s="52">
        <f>SUM(G113:G118)</f>
        <v>123214.88</v>
      </c>
      <c r="H112" s="52">
        <f t="shared" ref="H112" si="47">SUM(H113:H118)</f>
        <v>127637.11</v>
      </c>
      <c r="I112" s="591">
        <f t="shared" si="27"/>
        <v>103.58903892127313</v>
      </c>
      <c r="J112" s="591">
        <f t="shared" si="28"/>
        <v>103.58903892127313</v>
      </c>
      <c r="K112" s="113"/>
      <c r="L112" s="113"/>
      <c r="M112" s="113"/>
      <c r="N112" s="113"/>
      <c r="O112" s="113"/>
      <c r="P112" s="113"/>
      <c r="Q112" s="113"/>
    </row>
    <row r="113" spans="1:17" s="114" customFormat="1" x14ac:dyDescent="0.25">
      <c r="A113" s="82"/>
      <c r="B113" s="88" t="s">
        <v>469</v>
      </c>
      <c r="C113" s="57"/>
      <c r="D113" s="42" t="s">
        <v>382</v>
      </c>
      <c r="E113" s="89">
        <f>'Rekapitulacija Posebni dio'!C21</f>
        <v>32979.199999999997</v>
      </c>
      <c r="F113" s="89">
        <f>'Rekapitulacija Posebni dio'!D21</f>
        <v>13000</v>
      </c>
      <c r="G113" s="89">
        <f>'Rekapitulacija Posebni dio'!E21</f>
        <v>13000</v>
      </c>
      <c r="H113" s="89">
        <f>'Rekapitulacija Posebni dio'!F21</f>
        <v>38567.75</v>
      </c>
      <c r="I113" s="585">
        <f t="shared" si="27"/>
        <v>296.67500000000001</v>
      </c>
      <c r="J113" s="585">
        <f t="shared" si="28"/>
        <v>296.67500000000001</v>
      </c>
      <c r="K113" s="113"/>
      <c r="L113" s="113"/>
      <c r="M113" s="113"/>
      <c r="N113" s="113"/>
      <c r="O113" s="113"/>
      <c r="P113" s="113"/>
      <c r="Q113" s="113"/>
    </row>
    <row r="114" spans="1:17" s="114" customFormat="1" x14ac:dyDescent="0.25">
      <c r="A114" s="82"/>
      <c r="B114" s="88" t="s">
        <v>470</v>
      </c>
      <c r="C114" s="82"/>
      <c r="D114" s="42" t="s">
        <v>384</v>
      </c>
      <c r="E114" s="89">
        <f>'Rekapitulacija Posebni dio'!C22</f>
        <v>30736.17</v>
      </c>
      <c r="F114" s="89">
        <f>'Rekapitulacija Posebni dio'!D22</f>
        <v>25000</v>
      </c>
      <c r="G114" s="89">
        <f>'Rekapitulacija Posebni dio'!E22</f>
        <v>25000</v>
      </c>
      <c r="H114" s="89">
        <f>'Rekapitulacija Posebni dio'!F22</f>
        <v>13945.039999999999</v>
      </c>
      <c r="I114" s="585">
        <f t="shared" si="27"/>
        <v>55.780160000000002</v>
      </c>
      <c r="J114" s="585">
        <f t="shared" si="28"/>
        <v>55.780160000000002</v>
      </c>
      <c r="K114" s="113"/>
      <c r="L114" s="113"/>
      <c r="M114" s="113"/>
      <c r="N114" s="113"/>
      <c r="O114" s="113"/>
      <c r="P114" s="113"/>
      <c r="Q114" s="113"/>
    </row>
    <row r="115" spans="1:17" s="114" customFormat="1" x14ac:dyDescent="0.25">
      <c r="A115" s="82"/>
      <c r="B115" s="88" t="s">
        <v>471</v>
      </c>
      <c r="C115" s="82"/>
      <c r="D115" s="42" t="s">
        <v>383</v>
      </c>
      <c r="E115" s="89">
        <f>'Rekapitulacija Posebni dio'!C23</f>
        <v>0</v>
      </c>
      <c r="F115" s="89">
        <f>'Rekapitulacija Posebni dio'!D23</f>
        <v>2000</v>
      </c>
      <c r="G115" s="89">
        <f>'Rekapitulacija Posebni dio'!E23</f>
        <v>2000</v>
      </c>
      <c r="H115" s="89">
        <f>'Rekapitulacija Posebni dio'!F23</f>
        <v>0</v>
      </c>
      <c r="I115" s="585">
        <f t="shared" si="27"/>
        <v>0</v>
      </c>
      <c r="J115" s="585">
        <f t="shared" si="28"/>
        <v>0</v>
      </c>
      <c r="K115" s="113"/>
      <c r="L115" s="113"/>
      <c r="M115" s="113"/>
      <c r="N115" s="113"/>
      <c r="O115" s="113"/>
      <c r="P115" s="113"/>
      <c r="Q115" s="113"/>
    </row>
    <row r="116" spans="1:17" s="114" customFormat="1" x14ac:dyDescent="0.25">
      <c r="A116" s="82"/>
      <c r="B116" s="88" t="s">
        <v>472</v>
      </c>
      <c r="C116" s="82"/>
      <c r="D116" s="42" t="s">
        <v>385</v>
      </c>
      <c r="E116" s="89">
        <f>'Rekapitulacija Posebni dio'!C24</f>
        <v>4022.98</v>
      </c>
      <c r="F116" s="89">
        <f>'Rekapitulacija Posebni dio'!D24</f>
        <v>3800</v>
      </c>
      <c r="G116" s="89">
        <f>'Rekapitulacija Posebni dio'!E24</f>
        <v>3800</v>
      </c>
      <c r="H116" s="89">
        <f>'Rekapitulacija Posebni dio'!F24</f>
        <v>2524.3200000000002</v>
      </c>
      <c r="I116" s="585">
        <f t="shared" si="27"/>
        <v>66.429473684210521</v>
      </c>
      <c r="J116" s="585">
        <f t="shared" si="28"/>
        <v>66.429473684210521</v>
      </c>
      <c r="K116" s="113"/>
      <c r="L116" s="113"/>
      <c r="M116" s="113"/>
      <c r="N116" s="113"/>
      <c r="O116" s="113"/>
      <c r="P116" s="113"/>
      <c r="Q116" s="113"/>
    </row>
    <row r="117" spans="1:17" s="114" customFormat="1" x14ac:dyDescent="0.25">
      <c r="A117" s="82"/>
      <c r="B117" s="88" t="s">
        <v>473</v>
      </c>
      <c r="C117" s="82"/>
      <c r="D117" s="42" t="s">
        <v>386</v>
      </c>
      <c r="E117" s="89">
        <f>'Rekapitulacija Posebni dio'!C25</f>
        <v>39600</v>
      </c>
      <c r="F117" s="89">
        <f>'Rekapitulacija Posebni dio'!D25</f>
        <v>40000</v>
      </c>
      <c r="G117" s="89">
        <f>'Rekapitulacija Posebni dio'!E25</f>
        <v>40000</v>
      </c>
      <c r="H117" s="89">
        <f>'Rekapitulacija Posebni dio'!F25</f>
        <v>36600</v>
      </c>
      <c r="I117" s="585">
        <f t="shared" si="27"/>
        <v>91.5</v>
      </c>
      <c r="J117" s="585">
        <f t="shared" si="28"/>
        <v>91.5</v>
      </c>
      <c r="K117" s="113"/>
      <c r="L117" s="113"/>
      <c r="M117" s="113"/>
      <c r="N117" s="113"/>
      <c r="O117" s="113"/>
      <c r="P117" s="113"/>
      <c r="Q117" s="113"/>
    </row>
    <row r="118" spans="1:17" s="91" customFormat="1" x14ac:dyDescent="0.25">
      <c r="A118" s="57"/>
      <c r="B118" s="88" t="s">
        <v>474</v>
      </c>
      <c r="C118" s="57"/>
      <c r="D118" s="42" t="s">
        <v>381</v>
      </c>
      <c r="E118" s="89">
        <f>'Rekapitulacija Posebni dio'!C26</f>
        <v>35346.089999999997</v>
      </c>
      <c r="F118" s="89">
        <f>'Rekapitulacija Posebni dio'!D26</f>
        <v>39414.880000000005</v>
      </c>
      <c r="G118" s="89">
        <f>'Rekapitulacija Posebni dio'!E26</f>
        <v>39414.880000000005</v>
      </c>
      <c r="H118" s="89">
        <f>'Rekapitulacija Posebni dio'!F26</f>
        <v>36000</v>
      </c>
      <c r="I118" s="585">
        <f t="shared" si="27"/>
        <v>91.336063943363513</v>
      </c>
      <c r="J118" s="585">
        <f t="shared" si="28"/>
        <v>91.336063943363513</v>
      </c>
      <c r="K118" s="90"/>
      <c r="L118" s="90"/>
      <c r="M118" s="90"/>
      <c r="N118" s="90"/>
      <c r="O118" s="90"/>
      <c r="P118" s="90"/>
      <c r="Q118" s="90"/>
    </row>
    <row r="119" spans="1:17" s="91" customFormat="1" x14ac:dyDescent="0.25">
      <c r="A119" s="82"/>
      <c r="B119" s="92">
        <v>313</v>
      </c>
      <c r="C119" s="82"/>
      <c r="D119" s="82" t="s">
        <v>100</v>
      </c>
      <c r="E119" s="93">
        <f>E120+E122</f>
        <v>536032.31999999995</v>
      </c>
      <c r="F119" s="93">
        <f>F120+F122</f>
        <v>413406</v>
      </c>
      <c r="G119" s="93">
        <f>G120+G122</f>
        <v>373406</v>
      </c>
      <c r="H119" s="93">
        <f>H120+H122</f>
        <v>510692.7099999999</v>
      </c>
      <c r="I119" s="607">
        <f t="shared" si="27"/>
        <v>123.5329700101111</v>
      </c>
      <c r="J119" s="607">
        <f t="shared" si="28"/>
        <v>136.76606964001647</v>
      </c>
      <c r="K119" s="90"/>
      <c r="L119" s="90"/>
      <c r="M119" s="90"/>
      <c r="N119" s="90"/>
      <c r="O119" s="90"/>
      <c r="P119" s="90"/>
      <c r="Q119" s="90"/>
    </row>
    <row r="120" spans="1:17" s="91" customFormat="1" x14ac:dyDescent="0.25">
      <c r="A120" s="82"/>
      <c r="B120" s="92">
        <v>3132</v>
      </c>
      <c r="C120" s="82"/>
      <c r="D120" s="82" t="s">
        <v>101</v>
      </c>
      <c r="E120" s="93">
        <f>SUM(E121)</f>
        <v>535994.57999999996</v>
      </c>
      <c r="F120" s="93">
        <f>SUM(F121)</f>
        <v>413406</v>
      </c>
      <c r="G120" s="93">
        <f>SUM(G121)</f>
        <v>373406</v>
      </c>
      <c r="H120" s="93">
        <f t="shared" ref="H120" si="48">SUM(H121)</f>
        <v>510680.39999999991</v>
      </c>
      <c r="I120" s="607">
        <f t="shared" si="27"/>
        <v>123.52999230780392</v>
      </c>
      <c r="J120" s="607">
        <f t="shared" si="28"/>
        <v>136.76277296026308</v>
      </c>
      <c r="K120" s="90"/>
      <c r="L120" s="90"/>
      <c r="M120" s="90"/>
      <c r="N120" s="90"/>
      <c r="O120" s="90"/>
      <c r="P120" s="90"/>
      <c r="Q120" s="90"/>
    </row>
    <row r="121" spans="1:17" s="62" customFormat="1" x14ac:dyDescent="0.25">
      <c r="A121" s="57"/>
      <c r="B121" s="94" t="s">
        <v>475</v>
      </c>
      <c r="C121" s="57"/>
      <c r="D121" s="57" t="s">
        <v>101</v>
      </c>
      <c r="E121" s="89">
        <f>'Rekapitulacija Posebni dio'!C29</f>
        <v>535994.57999999996</v>
      </c>
      <c r="F121" s="89">
        <f>'Rekapitulacija Posebni dio'!D29</f>
        <v>413406</v>
      </c>
      <c r="G121" s="89">
        <f>'Rekapitulacija Posebni dio'!E29</f>
        <v>373406</v>
      </c>
      <c r="H121" s="89">
        <f>'Rekapitulacija Posebni dio'!F29</f>
        <v>510680.39999999991</v>
      </c>
      <c r="I121" s="585">
        <f t="shared" si="27"/>
        <v>123.52999230780392</v>
      </c>
      <c r="J121" s="585">
        <f t="shared" si="28"/>
        <v>136.76277296026308</v>
      </c>
      <c r="K121" s="58"/>
      <c r="L121" s="58"/>
      <c r="M121" s="58"/>
      <c r="N121" s="58"/>
      <c r="O121" s="58"/>
      <c r="P121" s="58"/>
      <c r="Q121" s="58"/>
    </row>
    <row r="122" spans="1:17" s="62" customFormat="1" x14ac:dyDescent="0.25">
      <c r="A122" s="57"/>
      <c r="B122" s="92" t="s">
        <v>314</v>
      </c>
      <c r="C122" s="57"/>
      <c r="D122" s="82" t="s">
        <v>566</v>
      </c>
      <c r="E122" s="52">
        <f>E123</f>
        <v>37.74</v>
      </c>
      <c r="F122" s="52">
        <f>F123</f>
        <v>0</v>
      </c>
      <c r="G122" s="52">
        <f>G123</f>
        <v>0</v>
      </c>
      <c r="H122" s="52">
        <f>H123</f>
        <v>12.31</v>
      </c>
      <c r="I122" s="591">
        <f t="shared" si="27"/>
        <v>12.31</v>
      </c>
      <c r="J122" s="591">
        <f t="shared" si="28"/>
        <v>12.31</v>
      </c>
      <c r="K122" s="58"/>
      <c r="L122" s="58"/>
      <c r="M122" s="58"/>
      <c r="N122" s="58"/>
      <c r="O122" s="58"/>
      <c r="P122" s="58"/>
      <c r="Q122" s="58"/>
    </row>
    <row r="123" spans="1:17" s="62" customFormat="1" x14ac:dyDescent="0.25">
      <c r="A123" s="57"/>
      <c r="B123" s="94" t="s">
        <v>564</v>
      </c>
      <c r="C123" s="57"/>
      <c r="D123" s="57" t="s">
        <v>565</v>
      </c>
      <c r="E123" s="89">
        <f>'Rekapitulacija Posebni dio'!C31</f>
        <v>37.74</v>
      </c>
      <c r="F123" s="89">
        <f>'Rekapitulacija Posebni dio'!D31</f>
        <v>0</v>
      </c>
      <c r="G123" s="89">
        <f>'Rekapitulacija Posebni dio'!E31</f>
        <v>0</v>
      </c>
      <c r="H123" s="89">
        <f>'Rekapitulacija Posebni dio'!F31</f>
        <v>12.31</v>
      </c>
      <c r="I123" s="585">
        <f t="shared" si="27"/>
        <v>12.31</v>
      </c>
      <c r="J123" s="585">
        <f t="shared" si="28"/>
        <v>12.31</v>
      </c>
      <c r="K123" s="58"/>
      <c r="L123" s="58"/>
      <c r="M123" s="58"/>
      <c r="N123" s="58"/>
      <c r="O123" s="58"/>
      <c r="P123" s="58"/>
      <c r="Q123" s="58"/>
    </row>
    <row r="124" spans="1:17" s="62" customFormat="1" x14ac:dyDescent="0.25">
      <c r="A124" s="82"/>
      <c r="B124" s="83">
        <v>32</v>
      </c>
      <c r="C124" s="84"/>
      <c r="D124" s="85" t="s">
        <v>102</v>
      </c>
      <c r="E124" s="86">
        <f>E125+E137+E162+E193+E196+E200</f>
        <v>682391.78050000011</v>
      </c>
      <c r="F124" s="86">
        <f>F125+F137+F162+F193+F196+F200</f>
        <v>829345.58000000007</v>
      </c>
      <c r="G124" s="86">
        <f t="shared" ref="G124:H124" si="49">G125+G137+G162+G193+G196+G200</f>
        <v>565540.49</v>
      </c>
      <c r="H124" s="86">
        <f t="shared" si="49"/>
        <v>414295.3899999999</v>
      </c>
      <c r="I124" s="587">
        <f t="shared" si="27"/>
        <v>49.954494241109941</v>
      </c>
      <c r="J124" s="587">
        <f t="shared" si="28"/>
        <v>73.256539067609452</v>
      </c>
      <c r="K124" s="58"/>
      <c r="L124" s="58"/>
      <c r="M124" s="58"/>
      <c r="N124" s="58"/>
      <c r="O124" s="58"/>
      <c r="P124" s="58"/>
      <c r="Q124" s="58"/>
    </row>
    <row r="125" spans="1:17" s="62" customFormat="1" x14ac:dyDescent="0.25">
      <c r="A125" s="82"/>
      <c r="B125" s="87">
        <v>321</v>
      </c>
      <c r="C125" s="82"/>
      <c r="D125" s="82" t="s">
        <v>103</v>
      </c>
      <c r="E125" s="52">
        <f>E126+E130+E132+E135</f>
        <v>100222.78050000001</v>
      </c>
      <c r="F125" s="52">
        <f>F126+F130+F132+F135</f>
        <v>106441.57</v>
      </c>
      <c r="G125" s="52">
        <f>G126+G130+G132+G135</f>
        <v>106441.57</v>
      </c>
      <c r="H125" s="52">
        <f t="shared" ref="H125" si="50">H126+H130+H132+H135</f>
        <v>82014.11</v>
      </c>
      <c r="I125" s="591">
        <f t="shared" si="27"/>
        <v>77.050827040600765</v>
      </c>
      <c r="J125" s="591">
        <f t="shared" si="28"/>
        <v>77.050827040600765</v>
      </c>
      <c r="K125" s="58"/>
      <c r="L125" s="58"/>
      <c r="M125" s="58"/>
      <c r="N125" s="58"/>
      <c r="O125" s="58"/>
      <c r="P125" s="58"/>
      <c r="Q125" s="58"/>
    </row>
    <row r="126" spans="1:17" s="62" customFormat="1" x14ac:dyDescent="0.25">
      <c r="A126" s="82"/>
      <c r="B126" s="87" t="s">
        <v>104</v>
      </c>
      <c r="C126" s="82"/>
      <c r="D126" s="82" t="s">
        <v>105</v>
      </c>
      <c r="E126" s="52">
        <f>SUM(E127:E129)</f>
        <v>3262.2404999999999</v>
      </c>
      <c r="F126" s="52">
        <f>SUM(F127:F129)</f>
        <v>18977.240000000002</v>
      </c>
      <c r="G126" s="52">
        <f>SUM(G127:G129)</f>
        <v>18977.240000000002</v>
      </c>
      <c r="H126" s="52">
        <f>SUM(H127:H129)</f>
        <v>1596.2900000000004</v>
      </c>
      <c r="I126" s="591">
        <f t="shared" si="27"/>
        <v>8.4116025301887962</v>
      </c>
      <c r="J126" s="591">
        <f t="shared" si="28"/>
        <v>8.4116025301887962</v>
      </c>
      <c r="K126" s="58"/>
      <c r="L126" s="58"/>
      <c r="M126" s="58"/>
      <c r="N126" s="58"/>
      <c r="O126" s="58"/>
      <c r="P126" s="58"/>
      <c r="Q126" s="58"/>
    </row>
    <row r="127" spans="1:17" s="62" customFormat="1" x14ac:dyDescent="0.25">
      <c r="A127" s="82"/>
      <c r="B127" s="88" t="s">
        <v>506</v>
      </c>
      <c r="C127" s="57"/>
      <c r="D127" s="57" t="s">
        <v>387</v>
      </c>
      <c r="E127" s="89">
        <f>'Rekapitulacija Posebni dio'!C35</f>
        <v>2952.7505000000001</v>
      </c>
      <c r="F127" s="89">
        <f>'Rekapitulacija Posebni dio'!D35</f>
        <v>11800</v>
      </c>
      <c r="G127" s="89">
        <f>'Rekapitulacija Posebni dio'!E35</f>
        <v>11800</v>
      </c>
      <c r="H127" s="89">
        <f>'Rekapitulacija Posebni dio'!F35</f>
        <v>1140.0000000000002</v>
      </c>
      <c r="I127" s="585">
        <f t="shared" si="27"/>
        <v>9.6610169491525433</v>
      </c>
      <c r="J127" s="585">
        <f t="shared" si="28"/>
        <v>9.6610169491525433</v>
      </c>
      <c r="K127" s="58"/>
      <c r="L127" s="58"/>
      <c r="M127" s="58"/>
      <c r="N127" s="58"/>
      <c r="O127" s="58"/>
      <c r="P127" s="58"/>
      <c r="Q127" s="58"/>
    </row>
    <row r="128" spans="1:17" s="62" customFormat="1" x14ac:dyDescent="0.25">
      <c r="A128" s="82"/>
      <c r="B128" s="88" t="s">
        <v>514</v>
      </c>
      <c r="C128" s="57"/>
      <c r="D128" s="57" t="s">
        <v>389</v>
      </c>
      <c r="E128" s="89">
        <f>'Rekapitulacija Posebni dio'!C36</f>
        <v>0</v>
      </c>
      <c r="F128" s="89">
        <f>'Rekapitulacija Posebni dio'!D36</f>
        <v>700</v>
      </c>
      <c r="G128" s="89">
        <f>'Rekapitulacija Posebni dio'!E36</f>
        <v>700</v>
      </c>
      <c r="H128" s="89">
        <f>'Rekapitulacija Posebni dio'!F36</f>
        <v>227.60000000000002</v>
      </c>
      <c r="I128" s="585">
        <f t="shared" si="27"/>
        <v>32.51428571428572</v>
      </c>
      <c r="J128" s="585">
        <f t="shared" si="28"/>
        <v>32.51428571428572</v>
      </c>
      <c r="K128" s="58"/>
      <c r="L128" s="58"/>
      <c r="M128" s="58"/>
      <c r="N128" s="58"/>
      <c r="O128" s="58"/>
      <c r="P128" s="58"/>
      <c r="Q128" s="58"/>
    </row>
    <row r="129" spans="1:17" s="116" customFormat="1" x14ac:dyDescent="0.25">
      <c r="A129" s="57"/>
      <c r="B129" s="88" t="s">
        <v>495</v>
      </c>
      <c r="C129" s="57"/>
      <c r="D129" s="57" t="s">
        <v>390</v>
      </c>
      <c r="E129" s="89">
        <f>'Rekapitulacija Posebni dio'!C37</f>
        <v>309.49</v>
      </c>
      <c r="F129" s="89">
        <f>'Rekapitulacija Posebni dio'!D37</f>
        <v>6477.2400000000016</v>
      </c>
      <c r="G129" s="89">
        <f>'Rekapitulacija Posebni dio'!E37</f>
        <v>6477.2400000000016</v>
      </c>
      <c r="H129" s="89">
        <f>'Rekapitulacija Posebni dio'!F37</f>
        <v>228.68999999999994</v>
      </c>
      <c r="I129" s="585">
        <f t="shared" si="27"/>
        <v>3.530670470756061</v>
      </c>
      <c r="J129" s="585">
        <f t="shared" si="28"/>
        <v>3.530670470756061</v>
      </c>
      <c r="K129" s="115"/>
      <c r="L129" s="115"/>
      <c r="M129" s="115"/>
      <c r="N129" s="115"/>
      <c r="O129" s="115"/>
      <c r="P129" s="115"/>
      <c r="Q129" s="115"/>
    </row>
    <row r="130" spans="1:17" s="116" customFormat="1" x14ac:dyDescent="0.25">
      <c r="A130" s="57"/>
      <c r="B130" s="87" t="s">
        <v>106</v>
      </c>
      <c r="C130" s="82"/>
      <c r="D130" s="97" t="s">
        <v>107</v>
      </c>
      <c r="E130" s="52">
        <f>SUM(E131)</f>
        <v>92041.02</v>
      </c>
      <c r="F130" s="52">
        <f>SUM(F131)</f>
        <v>82288.14</v>
      </c>
      <c r="G130" s="52">
        <f>SUM(G131)</f>
        <v>82288.14</v>
      </c>
      <c r="H130" s="52">
        <f>SUM(H131)</f>
        <v>76715.8</v>
      </c>
      <c r="I130" s="591">
        <f t="shared" si="27"/>
        <v>93.228258653069574</v>
      </c>
      <c r="J130" s="591">
        <f t="shared" si="28"/>
        <v>93.228258653069574</v>
      </c>
      <c r="K130" s="115"/>
      <c r="L130" s="115"/>
      <c r="M130" s="115"/>
      <c r="N130" s="115"/>
      <c r="O130" s="115"/>
      <c r="P130" s="115"/>
      <c r="Q130" s="115"/>
    </row>
    <row r="131" spans="1:17" s="62" customFormat="1" x14ac:dyDescent="0.25">
      <c r="A131" s="57"/>
      <c r="B131" s="88" t="s">
        <v>476</v>
      </c>
      <c r="C131" s="57"/>
      <c r="D131" s="98" t="s">
        <v>107</v>
      </c>
      <c r="E131" s="89">
        <f>'Rekapitulacija Posebni dio'!C39</f>
        <v>92041.02</v>
      </c>
      <c r="F131" s="89">
        <f>'Rekapitulacija Posebni dio'!D39</f>
        <v>82288.14</v>
      </c>
      <c r="G131" s="89">
        <f>'Rekapitulacija Posebni dio'!E39</f>
        <v>82288.14</v>
      </c>
      <c r="H131" s="89">
        <f>'Rekapitulacija Posebni dio'!F39</f>
        <v>76715.8</v>
      </c>
      <c r="I131" s="585">
        <f t="shared" si="27"/>
        <v>93.228258653069574</v>
      </c>
      <c r="J131" s="585">
        <f t="shared" si="28"/>
        <v>93.228258653069574</v>
      </c>
      <c r="K131" s="117"/>
      <c r="L131" s="117"/>
      <c r="M131" s="58"/>
      <c r="N131" s="58"/>
      <c r="O131" s="58"/>
      <c r="P131" s="58"/>
      <c r="Q131" s="58"/>
    </row>
    <row r="132" spans="1:17" s="62" customFormat="1" x14ac:dyDescent="0.25">
      <c r="A132" s="57"/>
      <c r="B132" s="87" t="s">
        <v>108</v>
      </c>
      <c r="C132" s="82"/>
      <c r="D132" s="97" t="s">
        <v>109</v>
      </c>
      <c r="E132" s="52">
        <f>SUM(E133:E134)</f>
        <v>4919.5200000000004</v>
      </c>
      <c r="F132" s="52">
        <f>SUM(F133:F134)</f>
        <v>4778.0200000000004</v>
      </c>
      <c r="G132" s="52">
        <f>SUM(G133:G134)</f>
        <v>4778.0200000000004</v>
      </c>
      <c r="H132" s="52">
        <f t="shared" ref="H132" si="51">SUM(H133:H134)</f>
        <v>3702.02</v>
      </c>
      <c r="I132" s="591">
        <f t="shared" si="27"/>
        <v>77.480211468348799</v>
      </c>
      <c r="J132" s="591">
        <f t="shared" si="28"/>
        <v>77.480211468348799</v>
      </c>
      <c r="K132" s="117"/>
      <c r="L132" s="117"/>
      <c r="M132" s="58"/>
      <c r="N132" s="58"/>
      <c r="O132" s="58"/>
      <c r="P132" s="58"/>
      <c r="Q132" s="58"/>
    </row>
    <row r="133" spans="1:17" s="62" customFormat="1" x14ac:dyDescent="0.25">
      <c r="A133" s="57"/>
      <c r="B133" s="88" t="s">
        <v>516</v>
      </c>
      <c r="C133" s="57"/>
      <c r="D133" s="98" t="s">
        <v>391</v>
      </c>
      <c r="E133" s="89">
        <f>'Rekapitulacija Posebni dio'!C41</f>
        <v>1080</v>
      </c>
      <c r="F133" s="89">
        <f>'Rekapitulacija Posebni dio'!D41</f>
        <v>2200</v>
      </c>
      <c r="G133" s="89">
        <f>'Rekapitulacija Posebni dio'!E41</f>
        <v>2200</v>
      </c>
      <c r="H133" s="89">
        <f>'Rekapitulacija Posebni dio'!F41</f>
        <v>1571.5</v>
      </c>
      <c r="I133" s="585">
        <f t="shared" si="27"/>
        <v>71.431818181818187</v>
      </c>
      <c r="J133" s="585">
        <f t="shared" si="28"/>
        <v>71.431818181818187</v>
      </c>
      <c r="K133" s="117"/>
      <c r="L133" s="117"/>
      <c r="M133" s="58"/>
      <c r="N133" s="58"/>
      <c r="O133" s="58"/>
      <c r="P133" s="58"/>
      <c r="Q133" s="58"/>
    </row>
    <row r="134" spans="1:17" s="62" customFormat="1" x14ac:dyDescent="0.25">
      <c r="A134" s="57"/>
      <c r="B134" s="88" t="s">
        <v>496</v>
      </c>
      <c r="C134" s="57"/>
      <c r="D134" s="98" t="s">
        <v>392</v>
      </c>
      <c r="E134" s="89">
        <f>'Rekapitulacija Posebni dio'!C42</f>
        <v>3839.52</v>
      </c>
      <c r="F134" s="89">
        <f>'Rekapitulacija Posebni dio'!D42</f>
        <v>2578.0200000000004</v>
      </c>
      <c r="G134" s="89">
        <f>'Rekapitulacija Posebni dio'!E42</f>
        <v>2578.0200000000004</v>
      </c>
      <c r="H134" s="89">
        <f>'Rekapitulacija Posebni dio'!F42</f>
        <v>2130.52</v>
      </c>
      <c r="I134" s="585">
        <f t="shared" si="27"/>
        <v>82.641717286910094</v>
      </c>
      <c r="J134" s="585">
        <f t="shared" si="28"/>
        <v>82.641717286910094</v>
      </c>
      <c r="K134" s="58"/>
      <c r="L134" s="58"/>
      <c r="M134" s="58"/>
      <c r="N134" s="58"/>
      <c r="O134" s="58"/>
      <c r="P134" s="58"/>
      <c r="Q134" s="58"/>
    </row>
    <row r="135" spans="1:17" s="62" customFormat="1" x14ac:dyDescent="0.25">
      <c r="A135" s="57"/>
      <c r="B135" s="87" t="s">
        <v>110</v>
      </c>
      <c r="C135" s="82"/>
      <c r="D135" s="97" t="s">
        <v>111</v>
      </c>
      <c r="E135" s="52">
        <f>SUM(E136)</f>
        <v>0</v>
      </c>
      <c r="F135" s="52">
        <f>SUM(F136)</f>
        <v>398.17</v>
      </c>
      <c r="G135" s="52">
        <f>SUM(G136)</f>
        <v>398.17</v>
      </c>
      <c r="H135" s="52">
        <f t="shared" ref="H135" si="52">SUM(H136)</f>
        <v>0</v>
      </c>
      <c r="I135" s="591">
        <f t="shared" si="27"/>
        <v>0</v>
      </c>
      <c r="J135" s="591">
        <f t="shared" si="28"/>
        <v>0</v>
      </c>
      <c r="K135" s="58"/>
      <c r="L135" s="58"/>
      <c r="M135" s="58"/>
      <c r="N135" s="58"/>
      <c r="O135" s="58"/>
      <c r="P135" s="58"/>
      <c r="Q135" s="58"/>
    </row>
    <row r="136" spans="1:17" s="62" customFormat="1" x14ac:dyDescent="0.25">
      <c r="A136" s="57"/>
      <c r="B136" s="88" t="s">
        <v>477</v>
      </c>
      <c r="C136" s="57"/>
      <c r="D136" s="98" t="s">
        <v>515</v>
      </c>
      <c r="E136" s="89">
        <f>'Rekapitulacija Posebni dio'!C44</f>
        <v>0</v>
      </c>
      <c r="F136" s="89">
        <f>'Rekapitulacija Posebni dio'!D44</f>
        <v>398.17</v>
      </c>
      <c r="G136" s="89">
        <f>'Rekapitulacija Posebni dio'!E44</f>
        <v>398.17</v>
      </c>
      <c r="H136" s="89">
        <f>'Rekapitulacija Posebni dio'!F44</f>
        <v>0</v>
      </c>
      <c r="I136" s="585">
        <f t="shared" si="27"/>
        <v>0</v>
      </c>
      <c r="J136" s="585">
        <f t="shared" si="28"/>
        <v>0</v>
      </c>
      <c r="K136" s="58"/>
      <c r="L136" s="58"/>
      <c r="M136" s="58"/>
      <c r="N136" s="58"/>
      <c r="O136" s="58"/>
      <c r="P136" s="58"/>
      <c r="Q136" s="58"/>
    </row>
    <row r="137" spans="1:17" s="65" customFormat="1" ht="14.25" x14ac:dyDescent="0.25">
      <c r="A137" s="82"/>
      <c r="B137" s="87" t="s">
        <v>112</v>
      </c>
      <c r="C137" s="82"/>
      <c r="D137" s="97" t="s">
        <v>113</v>
      </c>
      <c r="E137" s="52">
        <f>E138+E144+E148+E153+E158+E160</f>
        <v>361175.70000000007</v>
      </c>
      <c r="F137" s="52">
        <f>F138+F144+F148+F153+F158+F160</f>
        <v>431866.74</v>
      </c>
      <c r="G137" s="52">
        <f>G138+G144+G148+G153+G158+G160</f>
        <v>146061.65000000002</v>
      </c>
      <c r="H137" s="52">
        <f t="shared" ref="H137" si="53">H138+H144+H148+H153+H158+H160</f>
        <v>71511.19</v>
      </c>
      <c r="I137" s="591">
        <f t="shared" si="27"/>
        <v>16.55862407927038</v>
      </c>
      <c r="J137" s="591">
        <f t="shared" si="28"/>
        <v>48.959593431951504</v>
      </c>
      <c r="K137" s="64"/>
      <c r="L137" s="64"/>
      <c r="M137" s="64"/>
      <c r="N137" s="64"/>
      <c r="O137" s="64"/>
      <c r="P137" s="64"/>
      <c r="Q137" s="64"/>
    </row>
    <row r="138" spans="1:17" s="65" customFormat="1" ht="14.25" x14ac:dyDescent="0.25">
      <c r="A138" s="82"/>
      <c r="B138" s="87" t="s">
        <v>114</v>
      </c>
      <c r="C138" s="82"/>
      <c r="D138" s="82" t="s">
        <v>115</v>
      </c>
      <c r="E138" s="52">
        <f>SUM(E139:E143)</f>
        <v>29125.119999999995</v>
      </c>
      <c r="F138" s="52">
        <f>SUM(F139:F143)</f>
        <v>29862.63</v>
      </c>
      <c r="G138" s="52">
        <f>SUM(G139:G143)</f>
        <v>29862.63</v>
      </c>
      <c r="H138" s="52">
        <f t="shared" ref="H138" si="54">SUM(H139:H143)</f>
        <v>14956.25</v>
      </c>
      <c r="I138" s="591">
        <f t="shared" ref="I138:I201" si="55">IFERROR(H138/F138*100,H138)</f>
        <v>50.083499008627165</v>
      </c>
      <c r="J138" s="591">
        <f t="shared" ref="J138:J201" si="56">IFERROR(H138/G138*100,H138)</f>
        <v>50.083499008627165</v>
      </c>
      <c r="K138" s="64"/>
      <c r="L138" s="64"/>
      <c r="M138" s="64"/>
      <c r="N138" s="64"/>
      <c r="O138" s="64"/>
      <c r="P138" s="64"/>
      <c r="Q138" s="64"/>
    </row>
    <row r="139" spans="1:17" s="65" customFormat="1" x14ac:dyDescent="0.25">
      <c r="A139" s="82"/>
      <c r="B139" s="88" t="s">
        <v>497</v>
      </c>
      <c r="C139" s="57"/>
      <c r="D139" s="98" t="s">
        <v>394</v>
      </c>
      <c r="E139" s="89">
        <f>'Rekapitulacija Posebni dio'!C47</f>
        <v>13687.63</v>
      </c>
      <c r="F139" s="89">
        <f>'Rekapitulacija Posebni dio'!D47</f>
        <v>12000</v>
      </c>
      <c r="G139" s="89">
        <f>'Rekapitulacija Posebni dio'!E47</f>
        <v>12000</v>
      </c>
      <c r="H139" s="89">
        <f>'Rekapitulacija Posebni dio'!F47</f>
        <v>7384.829999999999</v>
      </c>
      <c r="I139" s="585">
        <f t="shared" si="55"/>
        <v>61.540249999999993</v>
      </c>
      <c r="J139" s="585">
        <f t="shared" si="56"/>
        <v>61.540249999999993</v>
      </c>
      <c r="K139" s="64"/>
      <c r="L139" s="64"/>
      <c r="M139" s="64"/>
      <c r="N139" s="64"/>
      <c r="O139" s="64"/>
      <c r="P139" s="64"/>
      <c r="Q139" s="64"/>
    </row>
    <row r="140" spans="1:17" s="65" customFormat="1" x14ac:dyDescent="0.25">
      <c r="A140" s="82"/>
      <c r="B140" s="88" t="s">
        <v>517</v>
      </c>
      <c r="C140" s="57"/>
      <c r="D140" s="98" t="s">
        <v>395</v>
      </c>
      <c r="E140" s="89">
        <f>'Rekapitulacija Posebni dio'!C48</f>
        <v>0</v>
      </c>
      <c r="F140" s="89">
        <f>'Rekapitulacija Posebni dio'!D48</f>
        <v>500</v>
      </c>
      <c r="G140" s="89">
        <f>'Rekapitulacija Posebni dio'!E48</f>
        <v>500</v>
      </c>
      <c r="H140" s="89">
        <f>'Rekapitulacija Posebni dio'!F48</f>
        <v>565</v>
      </c>
      <c r="I140" s="585">
        <f t="shared" si="55"/>
        <v>112.99999999999999</v>
      </c>
      <c r="J140" s="585">
        <f t="shared" si="56"/>
        <v>112.99999999999999</v>
      </c>
      <c r="K140" s="64"/>
      <c r="L140" s="64"/>
      <c r="M140" s="64"/>
      <c r="N140" s="64"/>
      <c r="O140" s="64"/>
      <c r="P140" s="64"/>
      <c r="Q140" s="64"/>
    </row>
    <row r="141" spans="1:17" s="65" customFormat="1" x14ac:dyDescent="0.25">
      <c r="A141" s="82"/>
      <c r="B141" s="88" t="s">
        <v>518</v>
      </c>
      <c r="C141" s="57"/>
      <c r="D141" s="98" t="s">
        <v>396</v>
      </c>
      <c r="E141" s="89">
        <f>'Rekapitulacija Posebni dio'!C49</f>
        <v>13369.64</v>
      </c>
      <c r="F141" s="89">
        <f>'Rekapitulacija Posebni dio'!D49</f>
        <v>15000</v>
      </c>
      <c r="G141" s="89">
        <f>'Rekapitulacija Posebni dio'!E49</f>
        <v>15000</v>
      </c>
      <c r="H141" s="89">
        <f>'Rekapitulacija Posebni dio'!F49</f>
        <v>5909.9000000000005</v>
      </c>
      <c r="I141" s="585">
        <f t="shared" si="55"/>
        <v>39.399333333333338</v>
      </c>
      <c r="J141" s="585">
        <f t="shared" si="56"/>
        <v>39.399333333333338</v>
      </c>
      <c r="K141" s="64"/>
      <c r="L141" s="64"/>
      <c r="M141" s="64"/>
      <c r="N141" s="64"/>
      <c r="O141" s="64"/>
      <c r="P141" s="64"/>
      <c r="Q141" s="64"/>
    </row>
    <row r="142" spans="1:17" s="65" customFormat="1" x14ac:dyDescent="0.25">
      <c r="A142" s="82"/>
      <c r="B142" s="88" t="s">
        <v>519</v>
      </c>
      <c r="C142" s="57"/>
      <c r="D142" s="98" t="s">
        <v>397</v>
      </c>
      <c r="E142" s="89">
        <f>'Rekapitulacija Posebni dio'!C50</f>
        <v>0</v>
      </c>
      <c r="F142" s="89">
        <f>'Rekapitulacija Posebni dio'!D50</f>
        <v>700</v>
      </c>
      <c r="G142" s="89">
        <f>'Rekapitulacija Posebni dio'!E50</f>
        <v>700</v>
      </c>
      <c r="H142" s="89">
        <f>'Rekapitulacija Posebni dio'!F50</f>
        <v>0</v>
      </c>
      <c r="I142" s="585">
        <f t="shared" si="55"/>
        <v>0</v>
      </c>
      <c r="J142" s="585">
        <f t="shared" si="56"/>
        <v>0</v>
      </c>
      <c r="K142" s="64"/>
      <c r="L142" s="64"/>
      <c r="M142" s="64"/>
      <c r="N142" s="64"/>
      <c r="O142" s="64"/>
      <c r="P142" s="64"/>
      <c r="Q142" s="64"/>
    </row>
    <row r="143" spans="1:17" s="65" customFormat="1" x14ac:dyDescent="0.25">
      <c r="A143" s="82"/>
      <c r="B143" s="88" t="s">
        <v>520</v>
      </c>
      <c r="C143" s="57"/>
      <c r="D143" s="57" t="s">
        <v>398</v>
      </c>
      <c r="E143" s="89">
        <f>'Rekapitulacija Posebni dio'!C51</f>
        <v>2067.85</v>
      </c>
      <c r="F143" s="89">
        <f>'Rekapitulacija Posebni dio'!D51</f>
        <v>1662.630000000001</v>
      </c>
      <c r="G143" s="89">
        <f>'Rekapitulacija Posebni dio'!E51</f>
        <v>1662.630000000001</v>
      </c>
      <c r="H143" s="89">
        <f>'Rekapitulacija Posebni dio'!F51</f>
        <v>1096.5200000000004</v>
      </c>
      <c r="I143" s="585">
        <f t="shared" si="55"/>
        <v>65.950933160113777</v>
      </c>
      <c r="J143" s="585">
        <f t="shared" si="56"/>
        <v>65.950933160113777</v>
      </c>
      <c r="K143" s="64"/>
      <c r="L143" s="64"/>
      <c r="M143" s="64"/>
      <c r="N143" s="64"/>
      <c r="O143" s="64"/>
      <c r="P143" s="64"/>
      <c r="Q143" s="64"/>
    </row>
    <row r="144" spans="1:17" s="65" customFormat="1" ht="14.25" x14ac:dyDescent="0.25">
      <c r="A144" s="82"/>
      <c r="B144" s="87" t="s">
        <v>116</v>
      </c>
      <c r="C144" s="82"/>
      <c r="D144" s="82" t="s">
        <v>117</v>
      </c>
      <c r="E144" s="52">
        <f>SUM(E145:E147)</f>
        <v>214691.74000000002</v>
      </c>
      <c r="F144" s="52">
        <f>SUM(F145:F147)</f>
        <v>191120.84</v>
      </c>
      <c r="G144" s="52">
        <f>SUM(G145:G147)</f>
        <v>0</v>
      </c>
      <c r="H144" s="52">
        <f t="shared" ref="H144" si="57">SUM(H145:H147)</f>
        <v>0</v>
      </c>
      <c r="I144" s="591">
        <f t="shared" si="55"/>
        <v>0</v>
      </c>
      <c r="J144" s="591">
        <f t="shared" si="56"/>
        <v>0</v>
      </c>
      <c r="K144" s="64"/>
      <c r="L144" s="64"/>
      <c r="M144" s="64"/>
      <c r="N144" s="64"/>
      <c r="O144" s="64"/>
      <c r="P144" s="64"/>
      <c r="Q144" s="64"/>
    </row>
    <row r="145" spans="1:17" s="65" customFormat="1" x14ac:dyDescent="0.25">
      <c r="A145" s="82"/>
      <c r="B145" s="88" t="s">
        <v>478</v>
      </c>
      <c r="C145" s="57"/>
      <c r="D145" s="57" t="s">
        <v>399</v>
      </c>
      <c r="E145" s="89">
        <f>'Rekapitulacija Posebni dio'!C53</f>
        <v>199443.64</v>
      </c>
      <c r="F145" s="89">
        <f>'Rekapitulacija Posebni dio'!D53</f>
        <v>170000</v>
      </c>
      <c r="G145" s="89">
        <f>'Rekapitulacija Posebni dio'!E53</f>
        <v>0</v>
      </c>
      <c r="H145" s="89">
        <f>'Rekapitulacija Posebni dio'!F53</f>
        <v>0</v>
      </c>
      <c r="I145" s="585">
        <f t="shared" si="55"/>
        <v>0</v>
      </c>
      <c r="J145" s="585">
        <f t="shared" si="56"/>
        <v>0</v>
      </c>
      <c r="K145" s="64"/>
      <c r="L145" s="64"/>
      <c r="M145" s="64"/>
      <c r="N145" s="64"/>
      <c r="O145" s="64"/>
      <c r="P145" s="64"/>
      <c r="Q145" s="64"/>
    </row>
    <row r="146" spans="1:17" s="65" customFormat="1" x14ac:dyDescent="0.25">
      <c r="A146" s="82"/>
      <c r="B146" s="88" t="s">
        <v>479</v>
      </c>
      <c r="C146" s="57"/>
      <c r="D146" s="57" t="s">
        <v>400</v>
      </c>
      <c r="E146" s="89">
        <f>'Rekapitulacija Posebni dio'!C54</f>
        <v>15034.88</v>
      </c>
      <c r="F146" s="89">
        <f>'Rekapitulacija Posebni dio'!D54</f>
        <v>20000</v>
      </c>
      <c r="G146" s="89">
        <f>'Rekapitulacija Posebni dio'!E54</f>
        <v>0</v>
      </c>
      <c r="H146" s="89">
        <f>'Rekapitulacija Posebni dio'!F54</f>
        <v>0</v>
      </c>
      <c r="I146" s="585">
        <f t="shared" si="55"/>
        <v>0</v>
      </c>
      <c r="J146" s="585">
        <f t="shared" si="56"/>
        <v>0</v>
      </c>
      <c r="K146" s="64"/>
      <c r="L146" s="64"/>
      <c r="M146" s="64"/>
      <c r="N146" s="64"/>
      <c r="O146" s="64"/>
      <c r="P146" s="64"/>
      <c r="Q146" s="64"/>
    </row>
    <row r="147" spans="1:17" s="65" customFormat="1" x14ac:dyDescent="0.25">
      <c r="A147" s="82"/>
      <c r="B147" s="88" t="s">
        <v>480</v>
      </c>
      <c r="C147" s="82"/>
      <c r="D147" s="57" t="s">
        <v>521</v>
      </c>
      <c r="E147" s="89">
        <f>'Rekapitulacija Posebni dio'!C55</f>
        <v>213.22</v>
      </c>
      <c r="F147" s="89">
        <f>'Rekapitulacija Posebni dio'!D55</f>
        <v>1120.8399999999965</v>
      </c>
      <c r="G147" s="89">
        <f>'Rekapitulacija Posebni dio'!E55</f>
        <v>0</v>
      </c>
      <c r="H147" s="89">
        <f>'Rekapitulacija Posebni dio'!F55</f>
        <v>0</v>
      </c>
      <c r="I147" s="585">
        <f t="shared" si="55"/>
        <v>0</v>
      </c>
      <c r="J147" s="585">
        <f t="shared" si="56"/>
        <v>0</v>
      </c>
      <c r="K147" s="64"/>
      <c r="L147" s="64"/>
      <c r="M147" s="64"/>
      <c r="N147" s="64"/>
      <c r="O147" s="64"/>
      <c r="P147" s="64"/>
      <c r="Q147" s="64"/>
    </row>
    <row r="148" spans="1:17" s="65" customFormat="1" ht="14.25" x14ac:dyDescent="0.25">
      <c r="A148" s="82"/>
      <c r="B148" s="87" t="s">
        <v>118</v>
      </c>
      <c r="C148" s="82"/>
      <c r="D148" s="82" t="s">
        <v>119</v>
      </c>
      <c r="E148" s="52">
        <f>SUM(E149:E152)</f>
        <v>107818.18</v>
      </c>
      <c r="F148" s="52">
        <f>SUM(F149:F152)</f>
        <v>181684.25</v>
      </c>
      <c r="G148" s="52">
        <f>SUM(G149:G152)</f>
        <v>87000</v>
      </c>
      <c r="H148" s="52">
        <f t="shared" ref="H148" si="58">SUM(H149:H152)</f>
        <v>52529.990000000005</v>
      </c>
      <c r="I148" s="591">
        <f t="shared" si="55"/>
        <v>28.912792385691112</v>
      </c>
      <c r="J148" s="591">
        <f t="shared" si="56"/>
        <v>60.379298850574713</v>
      </c>
      <c r="K148" s="64"/>
      <c r="L148" s="64"/>
      <c r="M148" s="64"/>
      <c r="N148" s="64"/>
      <c r="O148" s="64"/>
      <c r="P148" s="64"/>
      <c r="Q148" s="64"/>
    </row>
    <row r="149" spans="1:17" s="65" customFormat="1" x14ac:dyDescent="0.25">
      <c r="A149" s="82"/>
      <c r="B149" s="88" t="s">
        <v>481</v>
      </c>
      <c r="C149" s="82"/>
      <c r="D149" s="57" t="s">
        <v>403</v>
      </c>
      <c r="E149" s="89">
        <f>'Rekapitulacija Posebni dio'!C57</f>
        <v>26651.439999999999</v>
      </c>
      <c r="F149" s="89">
        <f>'Rekapitulacija Posebni dio'!D57</f>
        <v>29000</v>
      </c>
      <c r="G149" s="89">
        <f>'Rekapitulacija Posebni dio'!E57</f>
        <v>29000</v>
      </c>
      <c r="H149" s="89">
        <f>'Rekapitulacija Posebni dio'!F57</f>
        <v>21318.82</v>
      </c>
      <c r="I149" s="585">
        <f t="shared" si="55"/>
        <v>73.5131724137931</v>
      </c>
      <c r="J149" s="585">
        <f t="shared" si="56"/>
        <v>73.5131724137931</v>
      </c>
      <c r="K149" s="64"/>
      <c r="L149" s="64"/>
      <c r="M149" s="64"/>
      <c r="N149" s="64"/>
      <c r="O149" s="64"/>
      <c r="P149" s="64"/>
      <c r="Q149" s="64"/>
    </row>
    <row r="150" spans="1:17" s="65" customFormat="1" x14ac:dyDescent="0.25">
      <c r="A150" s="82"/>
      <c r="B150" s="88" t="s">
        <v>482</v>
      </c>
      <c r="C150" s="82"/>
      <c r="D150" s="57" t="s">
        <v>404</v>
      </c>
      <c r="E150" s="89">
        <f>'Rekapitulacija Posebni dio'!C58</f>
        <v>2531.2399999999998</v>
      </c>
      <c r="F150" s="89">
        <f>'Rekapitulacija Posebni dio'!D58</f>
        <v>2000</v>
      </c>
      <c r="G150" s="89">
        <f>'Rekapitulacija Posebni dio'!E58</f>
        <v>2000</v>
      </c>
      <c r="H150" s="89">
        <f>'Rekapitulacija Posebni dio'!F58</f>
        <v>2555.02</v>
      </c>
      <c r="I150" s="585">
        <f t="shared" si="55"/>
        <v>127.75099999999999</v>
      </c>
      <c r="J150" s="585">
        <f t="shared" si="56"/>
        <v>127.75099999999999</v>
      </c>
      <c r="K150" s="64"/>
      <c r="L150" s="64"/>
      <c r="M150" s="64"/>
      <c r="N150" s="64"/>
      <c r="O150" s="64"/>
      <c r="P150" s="64"/>
      <c r="Q150" s="64"/>
    </row>
    <row r="151" spans="1:17" s="65" customFormat="1" x14ac:dyDescent="0.25">
      <c r="A151" s="82"/>
      <c r="B151" s="88" t="s">
        <v>483</v>
      </c>
      <c r="C151" s="82"/>
      <c r="D151" s="57" t="s">
        <v>405</v>
      </c>
      <c r="E151" s="89">
        <f>'Rekapitulacija Posebni dio'!C59</f>
        <v>21396.27</v>
      </c>
      <c r="F151" s="89">
        <f>'Rekapitulacija Posebni dio'!D59</f>
        <v>36000</v>
      </c>
      <c r="G151" s="89">
        <f>'Rekapitulacija Posebni dio'!E59</f>
        <v>36000</v>
      </c>
      <c r="H151" s="89">
        <f>'Rekapitulacija Posebni dio'!F59</f>
        <v>16226.57</v>
      </c>
      <c r="I151" s="585">
        <f t="shared" si="55"/>
        <v>45.073805555555559</v>
      </c>
      <c r="J151" s="585">
        <f t="shared" si="56"/>
        <v>45.073805555555559</v>
      </c>
      <c r="K151" s="64"/>
      <c r="L151" s="64"/>
      <c r="M151" s="64"/>
      <c r="N151" s="64"/>
      <c r="O151" s="64"/>
      <c r="P151" s="64"/>
      <c r="Q151" s="64"/>
    </row>
    <row r="152" spans="1:17" s="65" customFormat="1" x14ac:dyDescent="0.25">
      <c r="A152" s="82"/>
      <c r="B152" s="88" t="s">
        <v>484</v>
      </c>
      <c r="C152" s="82"/>
      <c r="D152" s="57" t="s">
        <v>402</v>
      </c>
      <c r="E152" s="89">
        <f>'Rekapitulacija Posebni dio'!C60</f>
        <v>57239.23</v>
      </c>
      <c r="F152" s="89">
        <f>'Rekapitulacija Posebni dio'!D60</f>
        <v>114684.25</v>
      </c>
      <c r="G152" s="89">
        <f>'Rekapitulacija Posebni dio'!E60</f>
        <v>20000</v>
      </c>
      <c r="H152" s="89">
        <f>'Rekapitulacija Posebni dio'!F60</f>
        <v>12429.58</v>
      </c>
      <c r="I152" s="585">
        <f t="shared" si="55"/>
        <v>10.838088054811362</v>
      </c>
      <c r="J152" s="585">
        <f t="shared" si="56"/>
        <v>62.1479</v>
      </c>
      <c r="K152" s="64"/>
      <c r="L152" s="64"/>
      <c r="M152" s="64"/>
      <c r="N152" s="64"/>
      <c r="O152" s="64"/>
      <c r="P152" s="64"/>
      <c r="Q152" s="64"/>
    </row>
    <row r="153" spans="1:17" s="65" customFormat="1" ht="14.25" x14ac:dyDescent="0.25">
      <c r="A153" s="82"/>
      <c r="B153" s="87" t="s">
        <v>120</v>
      </c>
      <c r="C153" s="82"/>
      <c r="D153" s="97" t="s">
        <v>121</v>
      </c>
      <c r="E153" s="52">
        <f>SUM(E154:E157)</f>
        <v>1636.8400000000001</v>
      </c>
      <c r="F153" s="52">
        <f>SUM(F154:F157)</f>
        <v>13272.28</v>
      </c>
      <c r="G153" s="52">
        <f>SUM(G154:G157)</f>
        <v>13272.28</v>
      </c>
      <c r="H153" s="52">
        <f t="shared" ref="H153" si="59">SUM(H154:H157)</f>
        <v>3698.6700000000005</v>
      </c>
      <c r="I153" s="591">
        <f t="shared" si="55"/>
        <v>27.867630881807798</v>
      </c>
      <c r="J153" s="591">
        <f t="shared" si="56"/>
        <v>27.867630881807798</v>
      </c>
      <c r="K153" s="64"/>
      <c r="L153" s="64"/>
      <c r="M153" s="64"/>
      <c r="N153" s="64"/>
      <c r="O153" s="64"/>
      <c r="P153" s="64"/>
      <c r="Q153" s="64"/>
    </row>
    <row r="154" spans="1:17" s="65" customFormat="1" x14ac:dyDescent="0.25">
      <c r="A154" s="82"/>
      <c r="B154" s="88" t="s">
        <v>522</v>
      </c>
      <c r="C154" s="82"/>
      <c r="D154" s="42" t="s">
        <v>406</v>
      </c>
      <c r="E154" s="89">
        <f>'Rekapitulacija Posebni dio'!C62</f>
        <v>1030.3800000000001</v>
      </c>
      <c r="F154" s="89">
        <f>'Rekapitulacija Posebni dio'!D62</f>
        <v>7200</v>
      </c>
      <c r="G154" s="89">
        <f>'Rekapitulacija Posebni dio'!E62</f>
        <v>7200</v>
      </c>
      <c r="H154" s="89">
        <f>'Rekapitulacija Posebni dio'!F62</f>
        <v>1664.54</v>
      </c>
      <c r="I154" s="585">
        <f t="shared" si="55"/>
        <v>23.118611111111107</v>
      </c>
      <c r="J154" s="585">
        <f t="shared" si="56"/>
        <v>23.118611111111107</v>
      </c>
      <c r="K154" s="64"/>
      <c r="L154" s="64"/>
      <c r="M154" s="64"/>
      <c r="N154" s="64"/>
      <c r="O154" s="64"/>
      <c r="P154" s="64"/>
      <c r="Q154" s="64"/>
    </row>
    <row r="155" spans="1:17" s="65" customFormat="1" x14ac:dyDescent="0.25">
      <c r="A155" s="82"/>
      <c r="B155" s="88" t="s">
        <v>523</v>
      </c>
      <c r="C155" s="82"/>
      <c r="D155" s="42" t="s">
        <v>408</v>
      </c>
      <c r="E155" s="89">
        <f>'Rekapitulacija Posebni dio'!C63</f>
        <v>191.25</v>
      </c>
      <c r="F155" s="89">
        <f>'Rekapitulacija Posebni dio'!D63</f>
        <v>3000</v>
      </c>
      <c r="G155" s="89">
        <f>'Rekapitulacija Posebni dio'!E63</f>
        <v>3000</v>
      </c>
      <c r="H155" s="89">
        <f>'Rekapitulacija Posebni dio'!F63</f>
        <v>1861.0700000000002</v>
      </c>
      <c r="I155" s="585">
        <f t="shared" si="55"/>
        <v>62.035666666666664</v>
      </c>
      <c r="J155" s="585">
        <f t="shared" si="56"/>
        <v>62.035666666666664</v>
      </c>
      <c r="K155" s="64"/>
      <c r="L155" s="64"/>
      <c r="M155" s="64"/>
      <c r="N155" s="64"/>
      <c r="O155" s="64"/>
      <c r="P155" s="64"/>
      <c r="Q155" s="64"/>
    </row>
    <row r="156" spans="1:17" s="65" customFormat="1" x14ac:dyDescent="0.25">
      <c r="A156" s="82"/>
      <c r="B156" s="88" t="s">
        <v>524</v>
      </c>
      <c r="C156" s="82"/>
      <c r="D156" s="42" t="s">
        <v>407</v>
      </c>
      <c r="E156" s="89">
        <f>'Rekapitulacija Posebni dio'!C64</f>
        <v>415.21</v>
      </c>
      <c r="F156" s="89">
        <f>'Rekapitulacija Posebni dio'!D64</f>
        <v>2500</v>
      </c>
      <c r="G156" s="89">
        <f>'Rekapitulacija Posebni dio'!E64</f>
        <v>2500</v>
      </c>
      <c r="H156" s="89">
        <f>'Rekapitulacija Posebni dio'!F64</f>
        <v>159.80000000000001</v>
      </c>
      <c r="I156" s="585">
        <f t="shared" si="55"/>
        <v>6.3920000000000003</v>
      </c>
      <c r="J156" s="585">
        <f t="shared" si="56"/>
        <v>6.3920000000000003</v>
      </c>
      <c r="K156" s="64"/>
      <c r="L156" s="64"/>
      <c r="M156" s="64"/>
      <c r="N156" s="64"/>
      <c r="O156" s="64"/>
      <c r="P156" s="64"/>
      <c r="Q156" s="64"/>
    </row>
    <row r="157" spans="1:17" s="65" customFormat="1" x14ac:dyDescent="0.25">
      <c r="A157" s="82"/>
      <c r="B157" s="88" t="s">
        <v>525</v>
      </c>
      <c r="C157" s="82"/>
      <c r="D157" s="44" t="s">
        <v>409</v>
      </c>
      <c r="E157" s="89">
        <f>'Rekapitulacija Posebni dio'!C65</f>
        <v>0</v>
      </c>
      <c r="F157" s="89">
        <f>'Rekapitulacija Posebni dio'!D65</f>
        <v>572.28000000000065</v>
      </c>
      <c r="G157" s="89">
        <f>'Rekapitulacija Posebni dio'!E65</f>
        <v>572.28000000000065</v>
      </c>
      <c r="H157" s="89">
        <f>'Rekapitulacija Posebni dio'!F65</f>
        <v>13.26</v>
      </c>
      <c r="I157" s="585">
        <f t="shared" si="55"/>
        <v>2.3170475990773718</v>
      </c>
      <c r="J157" s="585">
        <f t="shared" si="56"/>
        <v>2.3170475990773718</v>
      </c>
      <c r="K157" s="64"/>
      <c r="L157" s="64"/>
      <c r="M157" s="64"/>
      <c r="N157" s="64"/>
      <c r="O157" s="64"/>
      <c r="P157" s="64"/>
      <c r="Q157" s="64"/>
    </row>
    <row r="158" spans="1:17" s="65" customFormat="1" ht="14.25" x14ac:dyDescent="0.25">
      <c r="A158" s="82"/>
      <c r="B158" s="87" t="s">
        <v>122</v>
      </c>
      <c r="C158" s="82"/>
      <c r="D158" s="97" t="s">
        <v>123</v>
      </c>
      <c r="E158" s="52">
        <f>SUM(E159)</f>
        <v>4563.8999999999996</v>
      </c>
      <c r="F158" s="52">
        <f>SUM(F159)</f>
        <v>6636.14</v>
      </c>
      <c r="G158" s="52">
        <f>SUM(G159)</f>
        <v>6636.14</v>
      </c>
      <c r="H158" s="52">
        <f t="shared" ref="H158" si="60">SUM(H159)</f>
        <v>251.27999999999997</v>
      </c>
      <c r="I158" s="591">
        <f t="shared" si="55"/>
        <v>3.7865385600665444</v>
      </c>
      <c r="J158" s="591">
        <f t="shared" si="56"/>
        <v>3.7865385600665444</v>
      </c>
      <c r="K158" s="64"/>
      <c r="L158" s="64"/>
      <c r="M158" s="64"/>
      <c r="N158" s="64"/>
      <c r="O158" s="64"/>
      <c r="P158" s="64"/>
      <c r="Q158" s="64"/>
    </row>
    <row r="159" spans="1:17" s="65" customFormat="1" x14ac:dyDescent="0.25">
      <c r="A159" s="82"/>
      <c r="B159" s="88" t="s">
        <v>485</v>
      </c>
      <c r="C159" s="82"/>
      <c r="D159" s="98" t="s">
        <v>123</v>
      </c>
      <c r="E159" s="89">
        <f>'Rekapitulacija Posebni dio'!C67</f>
        <v>4563.8999999999996</v>
      </c>
      <c r="F159" s="89">
        <f>'Rekapitulacija Posebni dio'!D67</f>
        <v>6636.14</v>
      </c>
      <c r="G159" s="89">
        <f>'Rekapitulacija Posebni dio'!E67</f>
        <v>6636.14</v>
      </c>
      <c r="H159" s="89">
        <f>'Rekapitulacija Posebni dio'!F67</f>
        <v>251.27999999999997</v>
      </c>
      <c r="I159" s="585">
        <f t="shared" si="55"/>
        <v>3.7865385600665444</v>
      </c>
      <c r="J159" s="585">
        <f t="shared" si="56"/>
        <v>3.7865385600665444</v>
      </c>
      <c r="K159" s="64"/>
      <c r="L159" s="64"/>
      <c r="M159" s="64"/>
      <c r="N159" s="64"/>
      <c r="O159" s="64"/>
      <c r="P159" s="64"/>
      <c r="Q159" s="64"/>
    </row>
    <row r="160" spans="1:17" s="65" customFormat="1" ht="14.25" x14ac:dyDescent="0.25">
      <c r="A160" s="82"/>
      <c r="B160" s="87" t="s">
        <v>124</v>
      </c>
      <c r="C160" s="82"/>
      <c r="D160" s="97" t="s">
        <v>125</v>
      </c>
      <c r="E160" s="52">
        <f>SUM(E161)</f>
        <v>3339.92</v>
      </c>
      <c r="F160" s="52">
        <f>SUM(F161)</f>
        <v>9290.6</v>
      </c>
      <c r="G160" s="52">
        <f>SUM(G161)</f>
        <v>9290.6</v>
      </c>
      <c r="H160" s="52">
        <f t="shared" ref="H160" si="61">SUM(H161)</f>
        <v>75</v>
      </c>
      <c r="I160" s="591">
        <f t="shared" si="55"/>
        <v>0.80726756076033834</v>
      </c>
      <c r="J160" s="591">
        <f t="shared" si="56"/>
        <v>0.80726756076033834</v>
      </c>
      <c r="K160" s="64"/>
      <c r="L160" s="64"/>
      <c r="M160" s="64"/>
      <c r="N160" s="64"/>
      <c r="O160" s="64"/>
      <c r="P160" s="64"/>
      <c r="Q160" s="64"/>
    </row>
    <row r="161" spans="1:17" s="65" customFormat="1" x14ac:dyDescent="0.25">
      <c r="A161" s="82"/>
      <c r="B161" s="88" t="s">
        <v>486</v>
      </c>
      <c r="C161" s="82"/>
      <c r="D161" s="98" t="s">
        <v>125</v>
      </c>
      <c r="E161" s="89">
        <f>'Rekapitulacija Posebni dio'!C69</f>
        <v>3339.92</v>
      </c>
      <c r="F161" s="89">
        <f>'Rekapitulacija Posebni dio'!D69</f>
        <v>9290.6</v>
      </c>
      <c r="G161" s="89">
        <f>'Rekapitulacija Posebni dio'!E69</f>
        <v>9290.6</v>
      </c>
      <c r="H161" s="89">
        <f>'Rekapitulacija Posebni dio'!F69</f>
        <v>75</v>
      </c>
      <c r="I161" s="585">
        <f t="shared" si="55"/>
        <v>0.80726756076033834</v>
      </c>
      <c r="J161" s="585">
        <f t="shared" si="56"/>
        <v>0.80726756076033834</v>
      </c>
      <c r="K161" s="64"/>
      <c r="L161" s="64"/>
      <c r="M161" s="64"/>
      <c r="N161" s="64"/>
      <c r="O161" s="64"/>
      <c r="P161" s="64"/>
      <c r="Q161" s="64"/>
    </row>
    <row r="162" spans="1:17" s="65" customFormat="1" ht="14.25" x14ac:dyDescent="0.25">
      <c r="A162" s="82"/>
      <c r="B162" s="87" t="s">
        <v>126</v>
      </c>
      <c r="C162" s="82"/>
      <c r="D162" s="97" t="s">
        <v>127</v>
      </c>
      <c r="E162" s="52">
        <f>E163+E167+E171+E173+E178+E180+E182+E187+E189</f>
        <v>186036.66000000003</v>
      </c>
      <c r="F162" s="52">
        <f>F163+F167+F171+F173+F178+F180+F182+F187+F189</f>
        <v>238863.46000000002</v>
      </c>
      <c r="G162" s="52">
        <f>G163+G167+G171+G173+G178+G180+G182+G187+G189</f>
        <v>220863.46000000002</v>
      </c>
      <c r="H162" s="52">
        <f t="shared" ref="H162" si="62">H163+H167+H171+H173+H178+H180+H182+H187+H189</f>
        <v>157136.89999999997</v>
      </c>
      <c r="I162" s="591">
        <f t="shared" si="55"/>
        <v>65.785239818597603</v>
      </c>
      <c r="J162" s="591">
        <f t="shared" si="56"/>
        <v>71.146626064809425</v>
      </c>
      <c r="K162" s="64"/>
      <c r="L162" s="64"/>
      <c r="M162" s="64"/>
      <c r="N162" s="64"/>
      <c r="O162" s="64"/>
      <c r="P162" s="64"/>
      <c r="Q162" s="64"/>
    </row>
    <row r="163" spans="1:17" s="65" customFormat="1" ht="14.25" x14ac:dyDescent="0.25">
      <c r="A163" s="82"/>
      <c r="B163" s="87" t="s">
        <v>128</v>
      </c>
      <c r="C163" s="82"/>
      <c r="D163" s="43" t="s">
        <v>129</v>
      </c>
      <c r="E163" s="52">
        <f>SUM(E164:E166)</f>
        <v>20247.75</v>
      </c>
      <c r="F163" s="52">
        <f>SUM(F164:F166)</f>
        <v>21235.65</v>
      </c>
      <c r="G163" s="52">
        <f>SUM(G164:G166)</f>
        <v>23235.65</v>
      </c>
      <c r="H163" s="52">
        <f t="shared" ref="H163" si="63">SUM(H164:H166)</f>
        <v>15128.510000000002</v>
      </c>
      <c r="I163" s="591">
        <f t="shared" si="55"/>
        <v>71.241096928984987</v>
      </c>
      <c r="J163" s="591">
        <f t="shared" si="56"/>
        <v>65.1090457981593</v>
      </c>
      <c r="K163" s="64"/>
      <c r="L163" s="64"/>
      <c r="M163" s="64"/>
      <c r="N163" s="64"/>
      <c r="O163" s="64"/>
      <c r="P163" s="64"/>
      <c r="Q163" s="64"/>
    </row>
    <row r="164" spans="1:17" s="65" customFormat="1" x14ac:dyDescent="0.25">
      <c r="A164" s="82"/>
      <c r="B164" s="88" t="s">
        <v>487</v>
      </c>
      <c r="C164" s="82"/>
      <c r="D164" s="44" t="s">
        <v>410</v>
      </c>
      <c r="E164" s="89">
        <f>'Rekapitulacija Posebni dio'!C72</f>
        <v>19646.55</v>
      </c>
      <c r="F164" s="89">
        <f>'Rekapitulacija Posebni dio'!D72</f>
        <v>19500</v>
      </c>
      <c r="G164" s="89">
        <f>'Rekapitulacija Posebni dio'!E72</f>
        <v>19500</v>
      </c>
      <c r="H164" s="89">
        <f>'Rekapitulacija Posebni dio'!F72</f>
        <v>14125.650000000001</v>
      </c>
      <c r="I164" s="585">
        <f t="shared" si="55"/>
        <v>72.439230769230775</v>
      </c>
      <c r="J164" s="585">
        <f t="shared" si="56"/>
        <v>72.439230769230775</v>
      </c>
      <c r="K164" s="64"/>
      <c r="L164" s="64"/>
      <c r="M164" s="64"/>
      <c r="N164" s="64"/>
      <c r="O164" s="64"/>
      <c r="P164" s="64"/>
      <c r="Q164" s="64"/>
    </row>
    <row r="165" spans="1:17" s="65" customFormat="1" x14ac:dyDescent="0.25">
      <c r="A165" s="82"/>
      <c r="B165" s="88" t="s">
        <v>488</v>
      </c>
      <c r="C165" s="82"/>
      <c r="D165" s="44" t="s">
        <v>411</v>
      </c>
      <c r="E165" s="89">
        <f>'Rekapitulacija Posebni dio'!C73</f>
        <v>594.20000000000005</v>
      </c>
      <c r="F165" s="89">
        <f>'Rekapitulacija Posebni dio'!D73</f>
        <v>1735.6500000000015</v>
      </c>
      <c r="G165" s="89">
        <f>'Rekapitulacija Posebni dio'!E73</f>
        <v>1735.65</v>
      </c>
      <c r="H165" s="89">
        <f>'Rekapitulacija Posebni dio'!F73</f>
        <v>665.36</v>
      </c>
      <c r="I165" s="585">
        <f t="shared" si="55"/>
        <v>38.33491775415547</v>
      </c>
      <c r="J165" s="585">
        <f t="shared" si="56"/>
        <v>38.334917754155498</v>
      </c>
      <c r="L165" s="64"/>
      <c r="M165" s="64"/>
      <c r="N165" s="64"/>
      <c r="O165" s="64"/>
      <c r="P165" s="64"/>
      <c r="Q165" s="64"/>
    </row>
    <row r="166" spans="1:17" s="65" customFormat="1" x14ac:dyDescent="0.25">
      <c r="A166" s="82"/>
      <c r="B166" s="88" t="s">
        <v>586</v>
      </c>
      <c r="C166" s="82"/>
      <c r="D166" s="44" t="s">
        <v>587</v>
      </c>
      <c r="E166" s="89">
        <f>'Rekapitulacija Posebni dio'!C74</f>
        <v>7</v>
      </c>
      <c r="F166" s="89">
        <f>'Rekapitulacija Posebni dio'!D74</f>
        <v>0</v>
      </c>
      <c r="G166" s="89">
        <f>'Rekapitulacija Posebni dio'!E74</f>
        <v>2000</v>
      </c>
      <c r="H166" s="89">
        <f>'Rekapitulacija Posebni dio'!F74</f>
        <v>337.5</v>
      </c>
      <c r="I166" s="585">
        <f t="shared" si="55"/>
        <v>337.5</v>
      </c>
      <c r="J166" s="585">
        <f t="shared" si="56"/>
        <v>16.875</v>
      </c>
      <c r="L166" s="64"/>
      <c r="M166" s="64"/>
      <c r="N166" s="64"/>
      <c r="O166" s="64"/>
      <c r="P166" s="64"/>
      <c r="Q166" s="64"/>
    </row>
    <row r="167" spans="1:17" s="65" customFormat="1" ht="14.25" x14ac:dyDescent="0.25">
      <c r="A167" s="82"/>
      <c r="B167" s="87" t="s">
        <v>130</v>
      </c>
      <c r="C167" s="82"/>
      <c r="D167" s="97" t="s">
        <v>131</v>
      </c>
      <c r="E167" s="52">
        <f>SUM(E168:E170)</f>
        <v>15181.16</v>
      </c>
      <c r="F167" s="52">
        <f>SUM(F168:F170)</f>
        <v>21053.72</v>
      </c>
      <c r="G167" s="52">
        <f>SUM(G168:G170)</f>
        <v>21053.72</v>
      </c>
      <c r="H167" s="52">
        <f t="shared" ref="H167" si="64">SUM(H168:H170)</f>
        <v>18025.050000000003</v>
      </c>
      <c r="I167" s="591">
        <f t="shared" si="55"/>
        <v>85.614561227184566</v>
      </c>
      <c r="J167" s="591">
        <f t="shared" si="56"/>
        <v>85.614561227184566</v>
      </c>
      <c r="L167" s="64"/>
      <c r="M167" s="64"/>
      <c r="N167" s="64"/>
      <c r="O167" s="64"/>
      <c r="P167" s="64"/>
      <c r="Q167" s="64"/>
    </row>
    <row r="168" spans="1:17" s="65" customFormat="1" x14ac:dyDescent="0.25">
      <c r="A168" s="82"/>
      <c r="B168" s="88" t="s">
        <v>510</v>
      </c>
      <c r="C168" s="82"/>
      <c r="D168" s="44" t="s">
        <v>413</v>
      </c>
      <c r="E168" s="89">
        <f>'Rekapitulacija Posebni dio'!C76</f>
        <v>5082.59</v>
      </c>
      <c r="F168" s="89">
        <f>'Rekapitulacija Posebni dio'!D76</f>
        <v>10500</v>
      </c>
      <c r="G168" s="89">
        <f>'Rekapitulacija Posebni dio'!E76</f>
        <v>10500</v>
      </c>
      <c r="H168" s="89">
        <f>'Rekapitulacija Posebni dio'!F76</f>
        <v>2032.3600000000006</v>
      </c>
      <c r="I168" s="585">
        <f t="shared" si="55"/>
        <v>19.35580952380953</v>
      </c>
      <c r="J168" s="585">
        <f t="shared" si="56"/>
        <v>19.35580952380953</v>
      </c>
      <c r="L168" s="64"/>
      <c r="M168" s="64"/>
      <c r="N168" s="64"/>
      <c r="O168" s="64"/>
      <c r="P168" s="64"/>
      <c r="Q168" s="64"/>
    </row>
    <row r="169" spans="1:17" s="65" customFormat="1" x14ac:dyDescent="0.25">
      <c r="A169" s="82"/>
      <c r="B169" s="88" t="s">
        <v>511</v>
      </c>
      <c r="C169" s="82"/>
      <c r="D169" s="44" t="s">
        <v>414</v>
      </c>
      <c r="E169" s="89">
        <f>'Rekapitulacija Posebni dio'!C77</f>
        <v>9438.4</v>
      </c>
      <c r="F169" s="89">
        <f>'Rekapitulacija Posebni dio'!D77</f>
        <v>6500</v>
      </c>
      <c r="G169" s="89">
        <f>'Rekapitulacija Posebni dio'!E77</f>
        <v>6500</v>
      </c>
      <c r="H169" s="89">
        <f>'Rekapitulacija Posebni dio'!F77</f>
        <v>12033.29</v>
      </c>
      <c r="I169" s="585">
        <f t="shared" si="55"/>
        <v>185.12753846153848</v>
      </c>
      <c r="J169" s="585">
        <f t="shared" si="56"/>
        <v>185.12753846153848</v>
      </c>
      <c r="L169" s="64"/>
      <c r="M169" s="64"/>
      <c r="N169" s="64"/>
      <c r="O169" s="64"/>
      <c r="P169" s="64"/>
      <c r="Q169" s="64"/>
    </row>
    <row r="170" spans="1:17" s="65" customFormat="1" x14ac:dyDescent="0.25">
      <c r="A170" s="82"/>
      <c r="B170" s="88" t="s">
        <v>512</v>
      </c>
      <c r="C170" s="82"/>
      <c r="D170" s="44" t="s">
        <v>412</v>
      </c>
      <c r="E170" s="89">
        <f>'Rekapitulacija Posebni dio'!C78</f>
        <v>660.17</v>
      </c>
      <c r="F170" s="89">
        <f>'Rekapitulacija Posebni dio'!D78</f>
        <v>4053.7200000000012</v>
      </c>
      <c r="G170" s="89">
        <f>'Rekapitulacija Posebni dio'!E78</f>
        <v>4053.7200000000012</v>
      </c>
      <c r="H170" s="89">
        <f>'Rekapitulacija Posebni dio'!F78</f>
        <v>3959.3999999999996</v>
      </c>
      <c r="I170" s="585">
        <f t="shared" si="55"/>
        <v>97.673248275657869</v>
      </c>
      <c r="J170" s="585">
        <f t="shared" si="56"/>
        <v>97.673248275657869</v>
      </c>
      <c r="K170" s="64"/>
      <c r="L170" s="64"/>
      <c r="M170" s="64"/>
      <c r="N170" s="64"/>
      <c r="O170" s="64"/>
      <c r="P170" s="64"/>
      <c r="Q170" s="64"/>
    </row>
    <row r="171" spans="1:17" s="65" customFormat="1" ht="14.25" x14ac:dyDescent="0.25">
      <c r="A171" s="82"/>
      <c r="B171" s="87" t="s">
        <v>132</v>
      </c>
      <c r="C171" s="82"/>
      <c r="D171" s="97" t="s">
        <v>133</v>
      </c>
      <c r="E171" s="52">
        <f>SUM(E172)</f>
        <v>0</v>
      </c>
      <c r="F171" s="52">
        <f>SUM(F172)</f>
        <v>663.61</v>
      </c>
      <c r="G171" s="52">
        <f>SUM(G172)</f>
        <v>663.61</v>
      </c>
      <c r="H171" s="52">
        <f t="shared" ref="H171" si="65">SUM(H172)</f>
        <v>491.46</v>
      </c>
      <c r="I171" s="591">
        <f t="shared" si="55"/>
        <v>74.058558490679758</v>
      </c>
      <c r="J171" s="591">
        <f t="shared" si="56"/>
        <v>74.058558490679758</v>
      </c>
      <c r="K171" s="64"/>
      <c r="L171" s="64"/>
      <c r="M171" s="64"/>
      <c r="N171" s="64"/>
      <c r="O171" s="64"/>
      <c r="P171" s="64"/>
      <c r="Q171" s="64"/>
    </row>
    <row r="172" spans="1:17" s="65" customFormat="1" x14ac:dyDescent="0.25">
      <c r="A172" s="82"/>
      <c r="B172" s="88" t="s">
        <v>489</v>
      </c>
      <c r="C172" s="82"/>
      <c r="D172" s="98" t="s">
        <v>133</v>
      </c>
      <c r="E172" s="89">
        <f>'Rekapitulacija Posebni dio'!C80</f>
        <v>0</v>
      </c>
      <c r="F172" s="89">
        <f>'Rekapitulacija Posebni dio'!D80</f>
        <v>663.61</v>
      </c>
      <c r="G172" s="89">
        <f>'Rekapitulacija Posebni dio'!E80</f>
        <v>663.61</v>
      </c>
      <c r="H172" s="89">
        <f>'Rekapitulacija Posebni dio'!F80</f>
        <v>491.46</v>
      </c>
      <c r="I172" s="585">
        <f t="shared" si="55"/>
        <v>74.058558490679758</v>
      </c>
      <c r="J172" s="585">
        <f t="shared" si="56"/>
        <v>74.058558490679758</v>
      </c>
      <c r="K172" s="64"/>
      <c r="L172" s="64"/>
      <c r="M172" s="64"/>
      <c r="N172" s="64"/>
      <c r="O172" s="64"/>
      <c r="P172" s="64"/>
      <c r="Q172" s="64"/>
    </row>
    <row r="173" spans="1:17" s="65" customFormat="1" ht="14.25" x14ac:dyDescent="0.25">
      <c r="A173" s="82"/>
      <c r="B173" s="99" t="s">
        <v>134</v>
      </c>
      <c r="C173" s="100"/>
      <c r="D173" s="101" t="s">
        <v>135</v>
      </c>
      <c r="E173" s="52">
        <f>SUM(E174:E177)</f>
        <v>23343.89</v>
      </c>
      <c r="F173" s="52">
        <f>SUM(F174:F177)</f>
        <v>19908.419999999998</v>
      </c>
      <c r="G173" s="52">
        <f>SUM(G174:G177)</f>
        <v>19908.419999999998</v>
      </c>
      <c r="H173" s="52">
        <f t="shared" ref="H173" si="66">SUM(H174:H177)</f>
        <v>18438.73</v>
      </c>
      <c r="I173" s="591">
        <f t="shared" si="55"/>
        <v>92.617746661965143</v>
      </c>
      <c r="J173" s="591">
        <f t="shared" si="56"/>
        <v>92.617746661965143</v>
      </c>
      <c r="K173" s="64"/>
      <c r="L173" s="64"/>
      <c r="M173" s="64"/>
      <c r="N173" s="64"/>
      <c r="O173" s="64"/>
      <c r="P173" s="64"/>
      <c r="Q173" s="64"/>
    </row>
    <row r="174" spans="1:17" s="65" customFormat="1" x14ac:dyDescent="0.25">
      <c r="A174" s="82"/>
      <c r="B174" s="88" t="s">
        <v>526</v>
      </c>
      <c r="C174" s="82"/>
      <c r="D174" s="44" t="s">
        <v>416</v>
      </c>
      <c r="E174" s="89">
        <f>'Rekapitulacija Posebni dio'!C82</f>
        <v>5937.95</v>
      </c>
      <c r="F174" s="89">
        <f>'Rekapitulacija Posebni dio'!D82</f>
        <v>7500</v>
      </c>
      <c r="G174" s="89">
        <f>'Rekapitulacija Posebni dio'!E82</f>
        <v>7500</v>
      </c>
      <c r="H174" s="89">
        <f>'Rekapitulacija Posebni dio'!F82</f>
        <v>4749.5300000000007</v>
      </c>
      <c r="I174" s="585">
        <f t="shared" si="55"/>
        <v>63.327066666666674</v>
      </c>
      <c r="J174" s="585">
        <f t="shared" si="56"/>
        <v>63.327066666666674</v>
      </c>
      <c r="K174" s="64"/>
      <c r="L174" s="64"/>
      <c r="M174" s="64"/>
      <c r="N174" s="64"/>
      <c r="O174" s="64"/>
      <c r="P174" s="64"/>
      <c r="Q174" s="64"/>
    </row>
    <row r="175" spans="1:17" s="65" customFormat="1" x14ac:dyDescent="0.25">
      <c r="A175" s="82"/>
      <c r="B175" s="88" t="s">
        <v>527</v>
      </c>
      <c r="C175" s="82"/>
      <c r="D175" s="44" t="s">
        <v>417</v>
      </c>
      <c r="E175" s="89">
        <f>'Rekapitulacija Posebni dio'!C83</f>
        <v>15622.79</v>
      </c>
      <c r="F175" s="89">
        <f>'Rekapitulacija Posebni dio'!D83</f>
        <v>10500</v>
      </c>
      <c r="G175" s="89">
        <f>'Rekapitulacija Posebni dio'!E83</f>
        <v>10500</v>
      </c>
      <c r="H175" s="89">
        <f>'Rekapitulacija Posebni dio'!F83</f>
        <v>13380.749999999998</v>
      </c>
      <c r="I175" s="585">
        <f t="shared" si="55"/>
        <v>127.43571428571427</v>
      </c>
      <c r="J175" s="585">
        <f t="shared" si="56"/>
        <v>127.43571428571427</v>
      </c>
      <c r="K175" s="64"/>
      <c r="L175" s="64"/>
      <c r="M175" s="64"/>
      <c r="N175" s="64"/>
      <c r="O175" s="64"/>
      <c r="P175" s="64"/>
      <c r="Q175" s="64"/>
    </row>
    <row r="176" spans="1:17" s="65" customFormat="1" x14ac:dyDescent="0.25">
      <c r="A176" s="82"/>
      <c r="B176" s="88" t="s">
        <v>528</v>
      </c>
      <c r="C176" s="82"/>
      <c r="D176" s="44" t="s">
        <v>418</v>
      </c>
      <c r="E176" s="89">
        <f>'Rekapitulacija Posebni dio'!C84</f>
        <v>1127.96</v>
      </c>
      <c r="F176" s="89">
        <f>'Rekapitulacija Posebni dio'!D84</f>
        <v>1500</v>
      </c>
      <c r="G176" s="89">
        <f>'Rekapitulacija Posebni dio'!E84</f>
        <v>1500</v>
      </c>
      <c r="H176" s="89">
        <f>'Rekapitulacija Posebni dio'!F84</f>
        <v>0</v>
      </c>
      <c r="I176" s="585">
        <f t="shared" si="55"/>
        <v>0</v>
      </c>
      <c r="J176" s="585">
        <f t="shared" si="56"/>
        <v>0</v>
      </c>
      <c r="K176" s="64"/>
      <c r="L176" s="64"/>
      <c r="M176" s="64"/>
      <c r="N176" s="64"/>
      <c r="O176" s="64"/>
      <c r="P176" s="64"/>
      <c r="Q176" s="64"/>
    </row>
    <row r="177" spans="1:17" s="65" customFormat="1" x14ac:dyDescent="0.25">
      <c r="A177" s="82"/>
      <c r="B177" s="102">
        <v>32349</v>
      </c>
      <c r="C177" s="103"/>
      <c r="D177" s="46" t="s">
        <v>419</v>
      </c>
      <c r="E177" s="89">
        <f>'Rekapitulacija Posebni dio'!C85</f>
        <v>655.19000000000005</v>
      </c>
      <c r="F177" s="89">
        <f>'Rekapitulacija Posebni dio'!D85</f>
        <v>408.41999999999825</v>
      </c>
      <c r="G177" s="89">
        <f>'Rekapitulacija Posebni dio'!E85</f>
        <v>408.41999999999825</v>
      </c>
      <c r="H177" s="89">
        <f>'Rekapitulacija Posebni dio'!F85</f>
        <v>308.45</v>
      </c>
      <c r="I177" s="585">
        <f t="shared" si="55"/>
        <v>75.522746192645158</v>
      </c>
      <c r="J177" s="585">
        <f t="shared" si="56"/>
        <v>75.522746192645158</v>
      </c>
      <c r="K177" s="64"/>
      <c r="L177" s="64"/>
      <c r="M177" s="64"/>
      <c r="N177" s="64"/>
      <c r="O177" s="64"/>
      <c r="P177" s="64"/>
      <c r="Q177" s="64"/>
    </row>
    <row r="178" spans="1:17" s="65" customFormat="1" ht="14.25" x14ac:dyDescent="0.25">
      <c r="A178" s="82"/>
      <c r="B178" s="99">
        <v>3235</v>
      </c>
      <c r="C178" s="100"/>
      <c r="D178" s="101" t="s">
        <v>136</v>
      </c>
      <c r="E178" s="52">
        <f>SUM(E179)</f>
        <v>0</v>
      </c>
      <c r="F178" s="52">
        <f>SUM(F179)</f>
        <v>132.72</v>
      </c>
      <c r="G178" s="52">
        <f>SUM(G179)</f>
        <v>132.72</v>
      </c>
      <c r="H178" s="52">
        <f t="shared" ref="H178" si="67">SUM(H179)</f>
        <v>0</v>
      </c>
      <c r="I178" s="591">
        <f t="shared" si="55"/>
        <v>0</v>
      </c>
      <c r="J178" s="591">
        <f t="shared" si="56"/>
        <v>0</v>
      </c>
      <c r="K178" s="64"/>
      <c r="L178" s="64"/>
      <c r="M178" s="64"/>
      <c r="N178" s="64"/>
      <c r="O178" s="64"/>
      <c r="P178" s="64"/>
      <c r="Q178" s="64"/>
    </row>
    <row r="179" spans="1:17" s="65" customFormat="1" x14ac:dyDescent="0.25">
      <c r="A179" s="82"/>
      <c r="B179" s="102">
        <v>32359</v>
      </c>
      <c r="C179" s="103"/>
      <c r="D179" s="104" t="s">
        <v>136</v>
      </c>
      <c r="E179" s="89">
        <f>'Rekapitulacija Posebni dio'!C87</f>
        <v>0</v>
      </c>
      <c r="F179" s="89">
        <f>'Rekapitulacija Posebni dio'!D87</f>
        <v>132.72</v>
      </c>
      <c r="G179" s="89">
        <f>'Rekapitulacija Posebni dio'!E87</f>
        <v>132.72</v>
      </c>
      <c r="H179" s="89">
        <f>'Rekapitulacija Posebni dio'!F87</f>
        <v>0</v>
      </c>
      <c r="I179" s="585">
        <f t="shared" si="55"/>
        <v>0</v>
      </c>
      <c r="J179" s="585">
        <f t="shared" si="56"/>
        <v>0</v>
      </c>
      <c r="K179" s="64"/>
      <c r="L179" s="64"/>
      <c r="M179" s="64"/>
      <c r="N179" s="64"/>
      <c r="O179" s="64"/>
      <c r="P179" s="64"/>
      <c r="Q179" s="64"/>
    </row>
    <row r="180" spans="1:17" s="65" customFormat="1" ht="14.25" x14ac:dyDescent="0.25">
      <c r="A180" s="82"/>
      <c r="B180" s="99">
        <v>3236</v>
      </c>
      <c r="C180" s="100"/>
      <c r="D180" s="101" t="s">
        <v>137</v>
      </c>
      <c r="E180" s="52">
        <f>SUM(E181)</f>
        <v>29827.13</v>
      </c>
      <c r="F180" s="52">
        <f>SUM(F181)</f>
        <v>22562.880000000001</v>
      </c>
      <c r="G180" s="52">
        <f>SUM(G181)</f>
        <v>2562.88</v>
      </c>
      <c r="H180" s="52">
        <f t="shared" ref="H180" si="68">SUM(H181)</f>
        <v>10487.53</v>
      </c>
      <c r="I180" s="591">
        <f t="shared" si="55"/>
        <v>46.481344580124521</v>
      </c>
      <c r="J180" s="591">
        <f t="shared" si="56"/>
        <v>409.20878074666007</v>
      </c>
      <c r="K180" s="64"/>
      <c r="L180" s="64"/>
      <c r="M180" s="64"/>
      <c r="N180" s="64"/>
      <c r="O180" s="64"/>
      <c r="P180" s="64"/>
      <c r="Q180" s="64"/>
    </row>
    <row r="181" spans="1:17" s="65" customFormat="1" x14ac:dyDescent="0.25">
      <c r="A181" s="82"/>
      <c r="B181" s="102">
        <v>32369</v>
      </c>
      <c r="C181" s="103"/>
      <c r="D181" s="104" t="s">
        <v>137</v>
      </c>
      <c r="E181" s="89">
        <f>'Rekapitulacija Posebni dio'!C89</f>
        <v>29827.13</v>
      </c>
      <c r="F181" s="89">
        <f>'Rekapitulacija Posebni dio'!D89</f>
        <v>22562.880000000001</v>
      </c>
      <c r="G181" s="89">
        <f>'Rekapitulacija Posebni dio'!E89</f>
        <v>2562.88</v>
      </c>
      <c r="H181" s="89">
        <f>'Rekapitulacija Posebni dio'!F89</f>
        <v>10487.53</v>
      </c>
      <c r="I181" s="585">
        <f t="shared" si="55"/>
        <v>46.481344580124521</v>
      </c>
      <c r="J181" s="585">
        <f t="shared" si="56"/>
        <v>409.20878074666007</v>
      </c>
      <c r="K181" s="64"/>
      <c r="L181" s="64"/>
      <c r="M181" s="64"/>
      <c r="N181" s="64"/>
      <c r="O181" s="64"/>
      <c r="P181" s="64"/>
      <c r="Q181" s="64"/>
    </row>
    <row r="182" spans="1:17" s="65" customFormat="1" ht="14.25" x14ac:dyDescent="0.25">
      <c r="A182" s="82"/>
      <c r="B182" s="99">
        <v>3237</v>
      </c>
      <c r="C182" s="100"/>
      <c r="D182" s="101" t="s">
        <v>138</v>
      </c>
      <c r="E182" s="52">
        <f>SUM(E183:E186)</f>
        <v>86411.15</v>
      </c>
      <c r="F182" s="52">
        <f>SUM(F183:F186)</f>
        <v>110480.46</v>
      </c>
      <c r="G182" s="52">
        <f>SUM(G183:G186)</f>
        <v>110480.46</v>
      </c>
      <c r="H182" s="52">
        <f>SUM(H183:H186)</f>
        <v>84764.7</v>
      </c>
      <c r="I182" s="591">
        <f t="shared" si="55"/>
        <v>76.72370299689193</v>
      </c>
      <c r="J182" s="591">
        <f t="shared" si="56"/>
        <v>76.72370299689193</v>
      </c>
      <c r="K182" s="64"/>
      <c r="L182" s="64"/>
      <c r="M182" s="64"/>
      <c r="N182" s="64"/>
      <c r="O182" s="64"/>
      <c r="P182" s="64"/>
      <c r="Q182" s="64"/>
    </row>
    <row r="183" spans="1:17" s="65" customFormat="1" x14ac:dyDescent="0.25">
      <c r="A183" s="82"/>
      <c r="B183" s="102">
        <v>32372</v>
      </c>
      <c r="C183" s="103"/>
      <c r="D183" s="104" t="s">
        <v>422</v>
      </c>
      <c r="E183" s="89">
        <f>'Rekapitulacija Posebni dio'!C91</f>
        <v>62424.14</v>
      </c>
      <c r="F183" s="89">
        <f>'Rekapitulacija Posebni dio'!D91</f>
        <v>94500</v>
      </c>
      <c r="G183" s="89">
        <f>'Rekapitulacija Posebni dio'!E91</f>
        <v>94500</v>
      </c>
      <c r="H183" s="89">
        <f>'Rekapitulacija Posebni dio'!F91</f>
        <v>71592.399999999994</v>
      </c>
      <c r="I183" s="585">
        <f t="shared" si="55"/>
        <v>75.759153439153437</v>
      </c>
      <c r="J183" s="585">
        <f t="shared" si="56"/>
        <v>75.759153439153437</v>
      </c>
      <c r="K183" s="64"/>
      <c r="L183" s="64"/>
      <c r="M183" s="64"/>
      <c r="N183" s="64"/>
      <c r="O183" s="64"/>
      <c r="P183" s="64"/>
      <c r="Q183" s="64"/>
    </row>
    <row r="184" spans="1:17" s="65" customFormat="1" x14ac:dyDescent="0.25">
      <c r="A184" s="82"/>
      <c r="B184" s="102">
        <v>32373</v>
      </c>
      <c r="C184" s="103"/>
      <c r="D184" s="104" t="s">
        <v>423</v>
      </c>
      <c r="E184" s="89">
        <f>'Rekapitulacija Posebni dio'!C92</f>
        <v>18195.37</v>
      </c>
      <c r="F184" s="89">
        <f>'Rekapitulacija Posebni dio'!D92</f>
        <v>12000</v>
      </c>
      <c r="G184" s="89">
        <f>'Rekapitulacija Posebni dio'!E92</f>
        <v>12000</v>
      </c>
      <c r="H184" s="89">
        <f>'Rekapitulacija Posebni dio'!F92</f>
        <v>11250</v>
      </c>
      <c r="I184" s="585">
        <f t="shared" si="55"/>
        <v>93.75</v>
      </c>
      <c r="J184" s="585">
        <f t="shared" si="56"/>
        <v>93.75</v>
      </c>
      <c r="K184" s="64"/>
      <c r="L184" s="64"/>
      <c r="M184" s="64"/>
      <c r="N184" s="64"/>
      <c r="O184" s="64"/>
      <c r="P184" s="64"/>
      <c r="Q184" s="64"/>
    </row>
    <row r="185" spans="1:17" s="65" customFormat="1" x14ac:dyDescent="0.25">
      <c r="A185" s="82"/>
      <c r="B185" s="102">
        <v>32375</v>
      </c>
      <c r="C185" s="103"/>
      <c r="D185" s="104" t="s">
        <v>588</v>
      </c>
      <c r="E185" s="89">
        <f>'Rekapitulacija Posebni dio'!C93</f>
        <v>1312.5</v>
      </c>
      <c r="F185" s="89">
        <f>'Rekapitulacija Posebni dio'!D93</f>
        <v>0</v>
      </c>
      <c r="G185" s="89">
        <f>'Rekapitulacija Posebni dio'!E93</f>
        <v>0</v>
      </c>
      <c r="H185" s="89">
        <f>'Rekapitulacija Posebni dio'!F93</f>
        <v>750</v>
      </c>
      <c r="I185" s="585">
        <f t="shared" si="55"/>
        <v>750</v>
      </c>
      <c r="J185" s="585">
        <f t="shared" si="56"/>
        <v>750</v>
      </c>
      <c r="K185" s="64"/>
      <c r="L185" s="64"/>
      <c r="M185" s="64"/>
      <c r="N185" s="64"/>
      <c r="O185" s="64"/>
      <c r="P185" s="64"/>
      <c r="Q185" s="64"/>
    </row>
    <row r="186" spans="1:17" s="65" customFormat="1" x14ac:dyDescent="0.25">
      <c r="A186" s="82"/>
      <c r="B186" s="102">
        <v>32379</v>
      </c>
      <c r="C186" s="103"/>
      <c r="D186" s="104" t="s">
        <v>490</v>
      </c>
      <c r="E186" s="89">
        <f>'Rekapitulacija Posebni dio'!C94</f>
        <v>4479.1400000000003</v>
      </c>
      <c r="F186" s="89">
        <f>'Rekapitulacija Posebni dio'!D94</f>
        <v>3980.4600000000064</v>
      </c>
      <c r="G186" s="89">
        <f>'Rekapitulacija Posebni dio'!E94</f>
        <v>3980.46</v>
      </c>
      <c r="H186" s="89">
        <f>'Rekapitulacija Posebni dio'!F94</f>
        <v>1172.3000000000002</v>
      </c>
      <c r="I186" s="585">
        <f t="shared" si="55"/>
        <v>29.451369942167442</v>
      </c>
      <c r="J186" s="585">
        <f t="shared" si="56"/>
        <v>29.451369942167492</v>
      </c>
      <c r="K186" s="64"/>
      <c r="L186" s="64"/>
      <c r="M186" s="64"/>
      <c r="N186" s="64"/>
      <c r="O186" s="64"/>
      <c r="P186" s="64"/>
      <c r="Q186" s="64"/>
    </row>
    <row r="187" spans="1:17" s="65" customFormat="1" ht="14.25" x14ac:dyDescent="0.25">
      <c r="A187" s="82"/>
      <c r="B187" s="99" t="s">
        <v>139</v>
      </c>
      <c r="C187" s="100"/>
      <c r="D187" s="101" t="s">
        <v>140</v>
      </c>
      <c r="E187" s="52">
        <f>SUM(E188)</f>
        <v>1750.47</v>
      </c>
      <c r="F187" s="52">
        <f>SUM(F188)</f>
        <v>18581.189999999999</v>
      </c>
      <c r="G187" s="52">
        <f>SUM(G188)</f>
        <v>18581.189999999999</v>
      </c>
      <c r="H187" s="52">
        <f t="shared" ref="H187" si="69">SUM(H188)</f>
        <v>7399.1500000000015</v>
      </c>
      <c r="I187" s="591">
        <f t="shared" si="55"/>
        <v>39.820646578609889</v>
      </c>
      <c r="J187" s="591">
        <f t="shared" si="56"/>
        <v>39.820646578609889</v>
      </c>
      <c r="K187" s="64"/>
      <c r="L187" s="64"/>
      <c r="M187" s="64"/>
      <c r="N187" s="64"/>
      <c r="O187" s="64"/>
      <c r="P187" s="64"/>
      <c r="Q187" s="64"/>
    </row>
    <row r="188" spans="1:17" s="65" customFormat="1" x14ac:dyDescent="0.25">
      <c r="A188" s="82"/>
      <c r="B188" s="102">
        <v>32389</v>
      </c>
      <c r="C188" s="103"/>
      <c r="D188" s="104" t="s">
        <v>140</v>
      </c>
      <c r="E188" s="89">
        <f>'Rekapitulacija Posebni dio'!C96</f>
        <v>1750.47</v>
      </c>
      <c r="F188" s="89">
        <f>'Rekapitulacija Posebni dio'!D96</f>
        <v>18581.189999999999</v>
      </c>
      <c r="G188" s="89">
        <f>'Rekapitulacija Posebni dio'!E96</f>
        <v>18581.189999999999</v>
      </c>
      <c r="H188" s="89">
        <f>'Rekapitulacija Posebni dio'!F96</f>
        <v>7399.1500000000015</v>
      </c>
      <c r="I188" s="585">
        <f t="shared" si="55"/>
        <v>39.820646578609889</v>
      </c>
      <c r="J188" s="585">
        <f t="shared" si="56"/>
        <v>39.820646578609889</v>
      </c>
      <c r="K188" s="64"/>
      <c r="L188" s="64"/>
      <c r="M188" s="64"/>
      <c r="N188" s="64"/>
      <c r="O188" s="64"/>
      <c r="P188" s="64"/>
      <c r="Q188" s="64"/>
    </row>
    <row r="189" spans="1:17" s="65" customFormat="1" ht="14.25" x14ac:dyDescent="0.25">
      <c r="A189" s="82"/>
      <c r="B189" s="99" t="s">
        <v>141</v>
      </c>
      <c r="C189" s="100"/>
      <c r="D189" s="101" t="s">
        <v>142</v>
      </c>
      <c r="E189" s="52">
        <f>SUM(E190:E192)</f>
        <v>9275.11</v>
      </c>
      <c r="F189" s="52">
        <f>SUM(F190:F192)</f>
        <v>24244.81</v>
      </c>
      <c r="G189" s="52">
        <f>SUM(G190:G192)</f>
        <v>24244.81</v>
      </c>
      <c r="H189" s="52">
        <f t="shared" ref="H189" si="70">SUM(H190:H192)</f>
        <v>2401.7699999999995</v>
      </c>
      <c r="I189" s="591">
        <f t="shared" si="55"/>
        <v>9.9063263436587015</v>
      </c>
      <c r="J189" s="591">
        <f t="shared" si="56"/>
        <v>9.9063263436587015</v>
      </c>
      <c r="K189" s="64"/>
      <c r="L189" s="64"/>
      <c r="M189" s="64"/>
      <c r="N189" s="64"/>
      <c r="O189" s="64"/>
      <c r="P189" s="64"/>
      <c r="Q189" s="64"/>
    </row>
    <row r="190" spans="1:17" s="65" customFormat="1" x14ac:dyDescent="0.25">
      <c r="A190" s="82"/>
      <c r="B190" s="45">
        <v>32394</v>
      </c>
      <c r="C190" s="103"/>
      <c r="D190" s="46" t="s">
        <v>425</v>
      </c>
      <c r="E190" s="89">
        <f>'Rekapitulacija Posebni dio'!C98</f>
        <v>2726.44</v>
      </c>
      <c r="F190" s="89">
        <f>'Rekapitulacija Posebni dio'!D98</f>
        <v>4000</v>
      </c>
      <c r="G190" s="89">
        <f>'Rekapitulacija Posebni dio'!E98</f>
        <v>4000</v>
      </c>
      <c r="H190" s="89">
        <f>'Rekapitulacija Posebni dio'!F98</f>
        <v>2190.91</v>
      </c>
      <c r="I190" s="585">
        <f t="shared" si="55"/>
        <v>54.772749999999995</v>
      </c>
      <c r="J190" s="585">
        <f t="shared" si="56"/>
        <v>54.772749999999995</v>
      </c>
      <c r="K190" s="64"/>
      <c r="L190" s="64"/>
      <c r="M190" s="64"/>
      <c r="N190" s="64"/>
      <c r="O190" s="64"/>
      <c r="P190" s="64"/>
      <c r="Q190" s="64"/>
    </row>
    <row r="191" spans="1:17" s="65" customFormat="1" x14ac:dyDescent="0.25">
      <c r="A191" s="82"/>
      <c r="B191" s="45">
        <v>32395</v>
      </c>
      <c r="C191" s="103"/>
      <c r="D191" s="46" t="s">
        <v>426</v>
      </c>
      <c r="E191" s="89">
        <f>'Rekapitulacija Posebni dio'!C99</f>
        <v>5622</v>
      </c>
      <c r="F191" s="89">
        <f>'Rekapitulacija Posebni dio'!D99</f>
        <v>6500</v>
      </c>
      <c r="G191" s="89">
        <f>'Rekapitulacija Posebni dio'!E99</f>
        <v>6500</v>
      </c>
      <c r="H191" s="89">
        <f>'Rekapitulacija Posebni dio'!F99</f>
        <v>0</v>
      </c>
      <c r="I191" s="585">
        <f t="shared" si="55"/>
        <v>0</v>
      </c>
      <c r="J191" s="585">
        <f t="shared" si="56"/>
        <v>0</v>
      </c>
      <c r="K191" s="64"/>
      <c r="L191" s="64"/>
      <c r="M191" s="64"/>
      <c r="N191" s="64"/>
      <c r="O191" s="64"/>
      <c r="P191" s="64"/>
      <c r="Q191" s="64"/>
    </row>
    <row r="192" spans="1:17" s="62" customFormat="1" x14ac:dyDescent="0.25">
      <c r="A192" s="57"/>
      <c r="B192" s="45">
        <v>32399</v>
      </c>
      <c r="C192" s="103"/>
      <c r="D192" s="46" t="s">
        <v>305</v>
      </c>
      <c r="E192" s="89">
        <f>'Rekapitulacija Posebni dio'!C100</f>
        <v>926.67</v>
      </c>
      <c r="F192" s="89">
        <f>'Rekapitulacija Posebni dio'!D100</f>
        <v>13744.810000000001</v>
      </c>
      <c r="G192" s="89">
        <f>'Rekapitulacija Posebni dio'!E100</f>
        <v>13744.810000000001</v>
      </c>
      <c r="H192" s="89">
        <f>'Rekapitulacija Posebni dio'!F100</f>
        <v>210.85999999999945</v>
      </c>
      <c r="I192" s="585">
        <f t="shared" si="55"/>
        <v>1.5341063281340332</v>
      </c>
      <c r="J192" s="585">
        <f t="shared" si="56"/>
        <v>1.5341063281340332</v>
      </c>
      <c r="K192" s="58"/>
      <c r="L192" s="58"/>
      <c r="M192" s="58"/>
      <c r="N192" s="58"/>
      <c r="O192" s="58"/>
      <c r="P192" s="58"/>
      <c r="Q192" s="58"/>
    </row>
    <row r="193" spans="1:17" s="62" customFormat="1" x14ac:dyDescent="0.25">
      <c r="A193" s="57"/>
      <c r="B193" s="92">
        <v>324</v>
      </c>
      <c r="C193" s="100"/>
      <c r="D193" s="118" t="s">
        <v>143</v>
      </c>
      <c r="E193" s="52">
        <f t="shared" ref="E193:G194" si="71">SUM(E194)</f>
        <v>0</v>
      </c>
      <c r="F193" s="52">
        <f t="shared" si="71"/>
        <v>398.17</v>
      </c>
      <c r="G193" s="52">
        <f t="shared" si="71"/>
        <v>398.17</v>
      </c>
      <c r="H193" s="52">
        <f t="shared" ref="H193" si="72">SUM(H194)</f>
        <v>0</v>
      </c>
      <c r="I193" s="591">
        <f t="shared" si="55"/>
        <v>0</v>
      </c>
      <c r="J193" s="591">
        <f t="shared" si="56"/>
        <v>0</v>
      </c>
      <c r="K193" s="58"/>
      <c r="L193" s="58"/>
      <c r="M193" s="58"/>
      <c r="N193" s="58"/>
      <c r="O193" s="58"/>
      <c r="P193" s="58"/>
      <c r="Q193" s="58"/>
    </row>
    <row r="194" spans="1:17" s="62" customFormat="1" x14ac:dyDescent="0.25">
      <c r="A194" s="57"/>
      <c r="B194" s="92">
        <v>3241</v>
      </c>
      <c r="C194" s="100"/>
      <c r="D194" s="118" t="s">
        <v>143</v>
      </c>
      <c r="E194" s="52">
        <f t="shared" si="71"/>
        <v>0</v>
      </c>
      <c r="F194" s="52">
        <f t="shared" si="71"/>
        <v>398.17</v>
      </c>
      <c r="G194" s="52">
        <f t="shared" si="71"/>
        <v>398.17</v>
      </c>
      <c r="H194" s="52">
        <f t="shared" ref="H194" si="73">SUM(H195)</f>
        <v>0</v>
      </c>
      <c r="I194" s="591">
        <f t="shared" si="55"/>
        <v>0</v>
      </c>
      <c r="J194" s="591">
        <f t="shared" si="56"/>
        <v>0</v>
      </c>
      <c r="K194" s="58"/>
      <c r="L194" s="58"/>
      <c r="M194" s="58"/>
      <c r="N194" s="58"/>
      <c r="O194" s="58"/>
      <c r="P194" s="58"/>
      <c r="Q194" s="58"/>
    </row>
    <row r="195" spans="1:17" s="62" customFormat="1" x14ac:dyDescent="0.25">
      <c r="A195" s="57"/>
      <c r="B195" s="94" t="s">
        <v>491</v>
      </c>
      <c r="C195" s="100"/>
      <c r="D195" s="119" t="s">
        <v>436</v>
      </c>
      <c r="E195" s="89">
        <f>'Rekapitulacija Posebni dio'!C103</f>
        <v>0</v>
      </c>
      <c r="F195" s="89">
        <f>'Rekapitulacija Posebni dio'!D103</f>
        <v>398.17</v>
      </c>
      <c r="G195" s="89">
        <f>'Rekapitulacija Posebni dio'!E103</f>
        <v>398.17</v>
      </c>
      <c r="H195" s="89">
        <f>'Rekapitulacija Posebni dio'!F103</f>
        <v>0</v>
      </c>
      <c r="I195" s="585">
        <f t="shared" si="55"/>
        <v>0</v>
      </c>
      <c r="J195" s="585">
        <f t="shared" si="56"/>
        <v>0</v>
      </c>
      <c r="K195" s="58"/>
      <c r="L195" s="58"/>
      <c r="M195" s="58"/>
      <c r="N195" s="58"/>
      <c r="O195" s="58"/>
      <c r="P195" s="58"/>
      <c r="Q195" s="58"/>
    </row>
    <row r="196" spans="1:17" s="62" customFormat="1" x14ac:dyDescent="0.25">
      <c r="A196" s="57"/>
      <c r="B196" s="92" t="s">
        <v>609</v>
      </c>
      <c r="C196" s="100"/>
      <c r="D196" s="118" t="s">
        <v>127</v>
      </c>
      <c r="E196" s="52">
        <f>E197</f>
        <v>0</v>
      </c>
      <c r="F196" s="52">
        <f>F197</f>
        <v>0</v>
      </c>
      <c r="G196" s="52">
        <f t="shared" ref="G196:H196" si="74">G197</f>
        <v>40000</v>
      </c>
      <c r="H196" s="52">
        <f t="shared" si="74"/>
        <v>68966.73</v>
      </c>
      <c r="I196" s="591">
        <f t="shared" si="55"/>
        <v>68966.73</v>
      </c>
      <c r="J196" s="591">
        <f t="shared" si="56"/>
        <v>172.41682499999999</v>
      </c>
      <c r="K196" s="58"/>
      <c r="L196" s="58"/>
      <c r="M196" s="58"/>
      <c r="N196" s="58"/>
      <c r="O196" s="58"/>
      <c r="P196" s="58"/>
      <c r="Q196" s="58"/>
    </row>
    <row r="197" spans="1:17" s="62" customFormat="1" x14ac:dyDescent="0.25">
      <c r="A197" s="57"/>
      <c r="B197" s="92" t="s">
        <v>610</v>
      </c>
      <c r="C197" s="100"/>
      <c r="D197" s="118" t="s">
        <v>142</v>
      </c>
      <c r="E197" s="52">
        <f>E198+E199</f>
        <v>0</v>
      </c>
      <c r="F197" s="52">
        <f>F198+F199</f>
        <v>0</v>
      </c>
      <c r="G197" s="52">
        <f t="shared" ref="G197:H197" si="75">G198+G199</f>
        <v>40000</v>
      </c>
      <c r="H197" s="52">
        <f t="shared" si="75"/>
        <v>68966.73</v>
      </c>
      <c r="I197" s="591">
        <f t="shared" si="55"/>
        <v>68966.73</v>
      </c>
      <c r="J197" s="591">
        <f t="shared" si="56"/>
        <v>172.41682499999999</v>
      </c>
      <c r="K197" s="58"/>
      <c r="L197" s="58"/>
      <c r="M197" s="58"/>
      <c r="N197" s="58"/>
      <c r="O197" s="58"/>
      <c r="P197" s="58"/>
      <c r="Q197" s="58"/>
    </row>
    <row r="198" spans="1:17" s="62" customFormat="1" x14ac:dyDescent="0.25">
      <c r="A198" s="57"/>
      <c r="B198" s="94" t="s">
        <v>611</v>
      </c>
      <c r="C198" s="100"/>
      <c r="D198" s="119" t="s">
        <v>613</v>
      </c>
      <c r="E198" s="89">
        <f>'Rekapitulacija Posebni dio'!C106</f>
        <v>0</v>
      </c>
      <c r="F198" s="89">
        <f>'Rekapitulacija Posebni dio'!D106</f>
        <v>0</v>
      </c>
      <c r="G198" s="89">
        <f>'Rekapitulacija Posebni dio'!E106</f>
        <v>5000</v>
      </c>
      <c r="H198" s="89">
        <f>'Rekapitulacija Posebni dio'!F106</f>
        <v>5623.3999999999978</v>
      </c>
      <c r="I198" s="585">
        <f t="shared" si="55"/>
        <v>5623.3999999999978</v>
      </c>
      <c r="J198" s="585">
        <f t="shared" si="56"/>
        <v>112.46799999999995</v>
      </c>
      <c r="K198" s="58"/>
      <c r="L198" s="58"/>
      <c r="M198" s="58"/>
      <c r="N198" s="58"/>
      <c r="O198" s="58"/>
      <c r="P198" s="58"/>
      <c r="Q198" s="58"/>
    </row>
    <row r="199" spans="1:17" s="62" customFormat="1" x14ac:dyDescent="0.25">
      <c r="A199" s="57"/>
      <c r="B199" s="94" t="s">
        <v>612</v>
      </c>
      <c r="C199" s="100"/>
      <c r="D199" s="119" t="s">
        <v>614</v>
      </c>
      <c r="E199" s="89">
        <f>'Rekapitulacija Posebni dio'!C107</f>
        <v>0</v>
      </c>
      <c r="F199" s="89">
        <f>'Rekapitulacija Posebni dio'!D107</f>
        <v>0</v>
      </c>
      <c r="G199" s="89">
        <f>'Rekapitulacija Posebni dio'!E107</f>
        <v>35000</v>
      </c>
      <c r="H199" s="89">
        <f>'Rekapitulacija Posebni dio'!F107</f>
        <v>63343.33</v>
      </c>
      <c r="I199" s="585">
        <f t="shared" si="55"/>
        <v>63343.33</v>
      </c>
      <c r="J199" s="585">
        <f t="shared" si="56"/>
        <v>180.98094285714285</v>
      </c>
      <c r="K199" s="58"/>
      <c r="L199" s="58"/>
      <c r="M199" s="58"/>
      <c r="N199" s="58"/>
      <c r="O199" s="58"/>
      <c r="P199" s="58"/>
      <c r="Q199" s="58"/>
    </row>
    <row r="200" spans="1:17" s="62" customFormat="1" x14ac:dyDescent="0.25">
      <c r="A200" s="57"/>
      <c r="B200" s="99">
        <v>329</v>
      </c>
      <c r="C200" s="100"/>
      <c r="D200" s="101" t="s">
        <v>144</v>
      </c>
      <c r="E200" s="52">
        <f>E201+E203+E207+E209+E211+E216+E218</f>
        <v>34956.639999999999</v>
      </c>
      <c r="F200" s="52">
        <f>F201+F203+F207+F209+F211+F216+F218</f>
        <v>51775.64</v>
      </c>
      <c r="G200" s="52">
        <f>G201+G203+G207+G209+G211+G216+G218</f>
        <v>51775.64</v>
      </c>
      <c r="H200" s="52">
        <f t="shared" ref="H200" si="76">H201+H203+H207+H209+H211+H216+H218</f>
        <v>34666.459999999992</v>
      </c>
      <c r="I200" s="591">
        <f t="shared" si="55"/>
        <v>66.955154972492835</v>
      </c>
      <c r="J200" s="591">
        <f t="shared" si="56"/>
        <v>66.955154972492835</v>
      </c>
      <c r="K200" s="58"/>
      <c r="L200" s="58"/>
      <c r="M200" s="58"/>
      <c r="N200" s="58"/>
      <c r="O200" s="58"/>
      <c r="P200" s="58"/>
      <c r="Q200" s="58"/>
    </row>
    <row r="201" spans="1:17" s="62" customFormat="1" x14ac:dyDescent="0.25">
      <c r="A201" s="57"/>
      <c r="B201" s="99" t="s">
        <v>145</v>
      </c>
      <c r="C201" s="100"/>
      <c r="D201" s="118" t="s">
        <v>537</v>
      </c>
      <c r="E201" s="52">
        <f>SUM(E202)</f>
        <v>8798.64</v>
      </c>
      <c r="F201" s="52">
        <f>SUM(F202)</f>
        <v>11613.25</v>
      </c>
      <c r="G201" s="52">
        <f>SUM(G202)</f>
        <v>11613.25</v>
      </c>
      <c r="H201" s="52">
        <f t="shared" ref="H201" si="77">SUM(H202)</f>
        <v>8798.64</v>
      </c>
      <c r="I201" s="591">
        <f t="shared" si="55"/>
        <v>75.76380427528899</v>
      </c>
      <c r="J201" s="591">
        <f t="shared" si="56"/>
        <v>75.76380427528899</v>
      </c>
      <c r="K201" s="58"/>
      <c r="L201" s="58"/>
      <c r="M201" s="58"/>
      <c r="N201" s="58"/>
      <c r="O201" s="58"/>
      <c r="P201" s="58"/>
      <c r="Q201" s="58"/>
    </row>
    <row r="202" spans="1:17" s="62" customFormat="1" ht="14.25" customHeight="1" x14ac:dyDescent="0.25">
      <c r="A202" s="57"/>
      <c r="B202" s="102">
        <v>32911</v>
      </c>
      <c r="C202" s="103"/>
      <c r="D202" s="119" t="s">
        <v>146</v>
      </c>
      <c r="E202" s="89">
        <f>'Rekapitulacija Posebni dio'!C110</f>
        <v>8798.64</v>
      </c>
      <c r="F202" s="89">
        <f>'Rekapitulacija Posebni dio'!D110</f>
        <v>11613.25</v>
      </c>
      <c r="G202" s="89">
        <f>'Rekapitulacija Posebni dio'!E110</f>
        <v>11613.25</v>
      </c>
      <c r="H202" s="89">
        <f>'Rekapitulacija Posebni dio'!F110</f>
        <v>8798.64</v>
      </c>
      <c r="I202" s="585">
        <f t="shared" ref="I202:I265" si="78">IFERROR(H202/F202*100,H202)</f>
        <v>75.76380427528899</v>
      </c>
      <c r="J202" s="585">
        <f t="shared" ref="J202:J265" si="79">IFERROR(H202/G202*100,H202)</f>
        <v>75.76380427528899</v>
      </c>
      <c r="K202" s="58"/>
      <c r="L202" s="58"/>
      <c r="M202" s="58"/>
      <c r="N202" s="58"/>
      <c r="O202" s="58"/>
      <c r="P202" s="58"/>
      <c r="Q202" s="58"/>
    </row>
    <row r="203" spans="1:17" s="62" customFormat="1" x14ac:dyDescent="0.25">
      <c r="A203" s="57"/>
      <c r="B203" s="99">
        <v>3292</v>
      </c>
      <c r="C203" s="100"/>
      <c r="D203" s="101" t="s">
        <v>147</v>
      </c>
      <c r="E203" s="52">
        <f>SUM(E204:E206)</f>
        <v>14370.47</v>
      </c>
      <c r="F203" s="52">
        <f>SUM(F204:F206)</f>
        <v>21235.65</v>
      </c>
      <c r="G203" s="52">
        <f>SUM(G204:G206)</f>
        <v>21235.65</v>
      </c>
      <c r="H203" s="52">
        <f t="shared" ref="H203" si="80">SUM(H204:H206)</f>
        <v>17201.599999999999</v>
      </c>
      <c r="I203" s="591">
        <f t="shared" si="78"/>
        <v>81.00340700661387</v>
      </c>
      <c r="J203" s="591">
        <f t="shared" si="79"/>
        <v>81.00340700661387</v>
      </c>
      <c r="K203" s="58"/>
      <c r="L203" s="58"/>
      <c r="M203" s="58"/>
      <c r="N203" s="58"/>
      <c r="O203" s="58"/>
      <c r="P203" s="58"/>
      <c r="Q203" s="58"/>
    </row>
    <row r="204" spans="1:17" s="62" customFormat="1" x14ac:dyDescent="0.25">
      <c r="A204" s="57"/>
      <c r="B204" s="102">
        <v>32921</v>
      </c>
      <c r="C204" s="100"/>
      <c r="D204" s="46" t="s">
        <v>430</v>
      </c>
      <c r="E204" s="89">
        <f>'Rekapitulacija Posebni dio'!C112</f>
        <v>3470.45</v>
      </c>
      <c r="F204" s="89">
        <f>'Rekapitulacija Posebni dio'!D112</f>
        <v>10250</v>
      </c>
      <c r="G204" s="89">
        <f>'Rekapitulacija Posebni dio'!E112</f>
        <v>10250</v>
      </c>
      <c r="H204" s="89">
        <f>'Rekapitulacija Posebni dio'!F112</f>
        <v>8125.3500000000013</v>
      </c>
      <c r="I204" s="585">
        <f t="shared" si="78"/>
        <v>79.271707317073179</v>
      </c>
      <c r="J204" s="585">
        <f t="shared" si="79"/>
        <v>79.271707317073179</v>
      </c>
      <c r="K204" s="58"/>
      <c r="L204" s="58"/>
      <c r="M204" s="58"/>
      <c r="N204" s="58"/>
      <c r="O204" s="58"/>
      <c r="P204" s="58"/>
      <c r="Q204" s="58"/>
    </row>
    <row r="205" spans="1:17" s="62" customFormat="1" x14ac:dyDescent="0.25">
      <c r="A205" s="57"/>
      <c r="B205" s="102">
        <v>32922</v>
      </c>
      <c r="C205" s="100"/>
      <c r="D205" s="46" t="s">
        <v>429</v>
      </c>
      <c r="E205" s="89">
        <f>'Rekapitulacija Posebni dio'!C113</f>
        <v>2766.74</v>
      </c>
      <c r="F205" s="89">
        <f>'Rekapitulacija Posebni dio'!D113</f>
        <v>2100</v>
      </c>
      <c r="G205" s="89">
        <f>'Rekapitulacija Posebni dio'!E113</f>
        <v>2100</v>
      </c>
      <c r="H205" s="89">
        <f>'Rekapitulacija Posebni dio'!F113</f>
        <v>2580.17</v>
      </c>
      <c r="I205" s="585">
        <f t="shared" si="78"/>
        <v>122.86523809523811</v>
      </c>
      <c r="J205" s="585">
        <f t="shared" si="79"/>
        <v>122.86523809523811</v>
      </c>
      <c r="K205" s="58"/>
      <c r="L205" s="58"/>
      <c r="M205" s="58"/>
      <c r="N205" s="58"/>
      <c r="O205" s="58"/>
      <c r="P205" s="58"/>
      <c r="Q205" s="58"/>
    </row>
    <row r="206" spans="1:17" s="62" customFormat="1" x14ac:dyDescent="0.25">
      <c r="A206" s="57"/>
      <c r="B206" s="102">
        <v>32923</v>
      </c>
      <c r="C206" s="103"/>
      <c r="D206" s="46" t="s">
        <v>427</v>
      </c>
      <c r="E206" s="89">
        <f>'Rekapitulacija Posebni dio'!C114</f>
        <v>8133.28</v>
      </c>
      <c r="F206" s="89">
        <f>'Rekapitulacija Posebni dio'!D114</f>
        <v>8885.6500000000015</v>
      </c>
      <c r="G206" s="89">
        <f>'Rekapitulacija Posebni dio'!E114</f>
        <v>8885.6500000000015</v>
      </c>
      <c r="H206" s="89">
        <f>'Rekapitulacija Posebni dio'!F114</f>
        <v>6496.08</v>
      </c>
      <c r="I206" s="585">
        <f t="shared" si="78"/>
        <v>73.107538559362553</v>
      </c>
      <c r="J206" s="585">
        <f t="shared" si="79"/>
        <v>73.107538559362553</v>
      </c>
      <c r="K206" s="58"/>
      <c r="L206" s="58"/>
      <c r="M206" s="58"/>
      <c r="N206" s="58"/>
      <c r="O206" s="58"/>
      <c r="P206" s="58"/>
      <c r="Q206" s="58"/>
    </row>
    <row r="207" spans="1:17" s="62" customFormat="1" x14ac:dyDescent="0.25">
      <c r="A207" s="57"/>
      <c r="B207" s="99">
        <v>3293</v>
      </c>
      <c r="C207" s="100"/>
      <c r="D207" s="101" t="s">
        <v>148</v>
      </c>
      <c r="E207" s="52">
        <f>SUM(E208)</f>
        <v>2857.91</v>
      </c>
      <c r="F207" s="52">
        <f>SUM(F208)</f>
        <v>3318.07</v>
      </c>
      <c r="G207" s="52">
        <f>SUM(G208)</f>
        <v>3318.07</v>
      </c>
      <c r="H207" s="52">
        <f t="shared" ref="H207" si="81">SUM(H208)</f>
        <v>1882.4999999999998</v>
      </c>
      <c r="I207" s="591">
        <f t="shared" si="78"/>
        <v>56.734788596985588</v>
      </c>
      <c r="J207" s="591">
        <f t="shared" si="79"/>
        <v>56.734788596985588</v>
      </c>
      <c r="K207" s="58"/>
      <c r="L207" s="58"/>
      <c r="M207" s="58"/>
      <c r="N207" s="58"/>
      <c r="O207" s="58"/>
      <c r="P207" s="58"/>
      <c r="Q207" s="58"/>
    </row>
    <row r="208" spans="1:17" s="62" customFormat="1" x14ac:dyDescent="0.25">
      <c r="A208" s="57"/>
      <c r="B208" s="102">
        <v>32931</v>
      </c>
      <c r="C208" s="103"/>
      <c r="D208" s="104" t="s">
        <v>148</v>
      </c>
      <c r="E208" s="89">
        <f>'Rekapitulacija Posebni dio'!C116</f>
        <v>2857.91</v>
      </c>
      <c r="F208" s="89">
        <f>'Rekapitulacija Posebni dio'!D116</f>
        <v>3318.07</v>
      </c>
      <c r="G208" s="89">
        <f>'Rekapitulacija Posebni dio'!E116</f>
        <v>3318.07</v>
      </c>
      <c r="H208" s="89">
        <f>'Rekapitulacija Posebni dio'!F116</f>
        <v>1882.4999999999998</v>
      </c>
      <c r="I208" s="585">
        <f t="shared" si="78"/>
        <v>56.734788596985588</v>
      </c>
      <c r="J208" s="585">
        <f t="shared" si="79"/>
        <v>56.734788596985588</v>
      </c>
      <c r="K208" s="58"/>
      <c r="L208" s="58"/>
      <c r="M208" s="58"/>
      <c r="N208" s="58"/>
      <c r="O208" s="58"/>
      <c r="P208" s="58"/>
      <c r="Q208" s="58"/>
    </row>
    <row r="209" spans="1:17" s="62" customFormat="1" x14ac:dyDescent="0.25">
      <c r="A209" s="57"/>
      <c r="B209" s="99">
        <v>3294</v>
      </c>
      <c r="C209" s="100"/>
      <c r="D209" s="101" t="s">
        <v>149</v>
      </c>
      <c r="E209" s="52">
        <f>SUM(E210)</f>
        <v>2587.89</v>
      </c>
      <c r="F209" s="52">
        <f>SUM(F210)</f>
        <v>1990.84</v>
      </c>
      <c r="G209" s="52">
        <f>SUM(G210)</f>
        <v>1990.84</v>
      </c>
      <c r="H209" s="52">
        <f t="shared" ref="H209" si="82">SUM(H210)</f>
        <v>1668.6000000000001</v>
      </c>
      <c r="I209" s="591">
        <f t="shared" si="78"/>
        <v>83.813867513210511</v>
      </c>
      <c r="J209" s="591">
        <f t="shared" si="79"/>
        <v>83.813867513210511</v>
      </c>
      <c r="K209" s="58"/>
      <c r="L209" s="58"/>
      <c r="M209" s="58"/>
      <c r="N209" s="58"/>
      <c r="O209" s="58"/>
      <c r="P209" s="58"/>
      <c r="Q209" s="58"/>
    </row>
    <row r="210" spans="1:17" s="62" customFormat="1" x14ac:dyDescent="0.25">
      <c r="A210" s="57"/>
      <c r="B210" s="102">
        <v>32941</v>
      </c>
      <c r="C210" s="103"/>
      <c r="D210" s="104" t="s">
        <v>529</v>
      </c>
      <c r="E210" s="89">
        <f>'Rekapitulacija Posebni dio'!C118</f>
        <v>2587.89</v>
      </c>
      <c r="F210" s="89">
        <f>'Rekapitulacija Posebni dio'!D118</f>
        <v>1990.84</v>
      </c>
      <c r="G210" s="89">
        <f>'Rekapitulacija Posebni dio'!E118</f>
        <v>1990.84</v>
      </c>
      <c r="H210" s="89">
        <f>'Rekapitulacija Posebni dio'!F118</f>
        <v>1668.6000000000001</v>
      </c>
      <c r="I210" s="585">
        <f t="shared" si="78"/>
        <v>83.813867513210511</v>
      </c>
      <c r="J210" s="585">
        <f t="shared" si="79"/>
        <v>83.813867513210511</v>
      </c>
      <c r="K210" s="58"/>
      <c r="L210" s="58"/>
      <c r="M210" s="58"/>
      <c r="N210" s="58"/>
      <c r="O210" s="58"/>
      <c r="P210" s="58"/>
      <c r="Q210" s="58"/>
    </row>
    <row r="211" spans="1:17" s="62" customFormat="1" x14ac:dyDescent="0.25">
      <c r="A211" s="57"/>
      <c r="B211" s="120">
        <v>3295</v>
      </c>
      <c r="C211" s="100"/>
      <c r="D211" s="121" t="s">
        <v>150</v>
      </c>
      <c r="E211" s="52">
        <f>SUM(E212:E215)</f>
        <v>292.14</v>
      </c>
      <c r="F211" s="52">
        <f>SUM(F212:F215)</f>
        <v>2654.46</v>
      </c>
      <c r="G211" s="52">
        <f>SUM(G212:G215)</f>
        <v>2654.46</v>
      </c>
      <c r="H211" s="52">
        <f t="shared" ref="H211" si="83">SUM(H212:H215)</f>
        <v>339.42000000000007</v>
      </c>
      <c r="I211" s="591">
        <f t="shared" si="78"/>
        <v>12.78678149228092</v>
      </c>
      <c r="J211" s="591">
        <f t="shared" si="79"/>
        <v>12.78678149228092</v>
      </c>
      <c r="K211" s="58"/>
      <c r="L211" s="58"/>
      <c r="M211" s="58"/>
      <c r="N211" s="58"/>
      <c r="O211" s="58"/>
      <c r="P211" s="58"/>
      <c r="Q211" s="58"/>
    </row>
    <row r="212" spans="1:17" s="62" customFormat="1" x14ac:dyDescent="0.25">
      <c r="A212" s="57"/>
      <c r="B212" s="102">
        <v>32952</v>
      </c>
      <c r="C212" s="103"/>
      <c r="D212" s="50" t="s">
        <v>433</v>
      </c>
      <c r="E212" s="89">
        <f>'Rekapitulacija Posebni dio'!C120</f>
        <v>262.14</v>
      </c>
      <c r="F212" s="89">
        <f>'Rekapitulacija Posebni dio'!D120</f>
        <v>800</v>
      </c>
      <c r="G212" s="89">
        <f>'Rekapitulacija Posebni dio'!E120</f>
        <v>800</v>
      </c>
      <c r="H212" s="89">
        <f>'Rekapitulacija Posebni dio'!F120</f>
        <v>0</v>
      </c>
      <c r="I212" s="585">
        <f t="shared" si="78"/>
        <v>0</v>
      </c>
      <c r="J212" s="585">
        <f t="shared" si="79"/>
        <v>0</v>
      </c>
      <c r="K212" s="58"/>
      <c r="L212" s="58"/>
      <c r="M212" s="58"/>
      <c r="N212" s="58"/>
      <c r="O212" s="58"/>
      <c r="P212" s="58"/>
      <c r="Q212" s="58"/>
    </row>
    <row r="213" spans="1:17" s="62" customFormat="1" x14ac:dyDescent="0.25">
      <c r="A213" s="57"/>
      <c r="B213" s="102">
        <v>32953</v>
      </c>
      <c r="C213" s="103"/>
      <c r="D213" s="50" t="s">
        <v>434</v>
      </c>
      <c r="E213" s="89">
        <f>'Rekapitulacija Posebni dio'!C121</f>
        <v>30</v>
      </c>
      <c r="F213" s="89">
        <f>'Rekapitulacija Posebni dio'!D121</f>
        <v>1450</v>
      </c>
      <c r="G213" s="89">
        <f>'Rekapitulacija Posebni dio'!E121</f>
        <v>1450</v>
      </c>
      <c r="H213" s="89">
        <f>'Rekapitulacija Posebni dio'!F121</f>
        <v>78.75</v>
      </c>
      <c r="I213" s="585">
        <f t="shared" si="78"/>
        <v>5.4310344827586201</v>
      </c>
      <c r="J213" s="585">
        <f t="shared" si="79"/>
        <v>5.4310344827586201</v>
      </c>
      <c r="K213" s="58"/>
      <c r="L213" s="58"/>
      <c r="M213" s="58"/>
      <c r="N213" s="58"/>
      <c r="O213" s="58"/>
      <c r="P213" s="58"/>
      <c r="Q213" s="58"/>
    </row>
    <row r="214" spans="1:17" s="62" customFormat="1" x14ac:dyDescent="0.25">
      <c r="A214" s="57"/>
      <c r="B214" s="102">
        <v>32955</v>
      </c>
      <c r="C214" s="103"/>
      <c r="D214" s="50" t="s">
        <v>629</v>
      </c>
      <c r="E214" s="89">
        <f>'Rekapitulacija Posebni dio'!C122</f>
        <v>0</v>
      </c>
      <c r="F214" s="89">
        <f>'Rekapitulacija Posebni dio'!D122</f>
        <v>0</v>
      </c>
      <c r="G214" s="89">
        <f>'Rekapitulacija Posebni dio'!E122</f>
        <v>0</v>
      </c>
      <c r="H214" s="89">
        <f>'Rekapitulacija Posebni dio'!F122</f>
        <v>207.58</v>
      </c>
      <c r="I214" s="585">
        <f t="shared" si="78"/>
        <v>207.58</v>
      </c>
      <c r="J214" s="585">
        <f t="shared" si="79"/>
        <v>207.58</v>
      </c>
      <c r="K214" s="58"/>
      <c r="L214" s="58"/>
      <c r="M214" s="58"/>
      <c r="N214" s="58"/>
      <c r="O214" s="58"/>
      <c r="P214" s="58"/>
      <c r="Q214" s="58"/>
    </row>
    <row r="215" spans="1:17" s="62" customFormat="1" x14ac:dyDescent="0.25">
      <c r="A215" s="57"/>
      <c r="B215" s="122">
        <v>32959</v>
      </c>
      <c r="C215" s="103"/>
      <c r="D215" s="50" t="s">
        <v>432</v>
      </c>
      <c r="E215" s="89">
        <f>'Rekapitulacija Posebni dio'!C123</f>
        <v>0</v>
      </c>
      <c r="F215" s="89">
        <f>'Rekapitulacija Posebni dio'!D123</f>
        <v>404.46000000000004</v>
      </c>
      <c r="G215" s="89">
        <f>'Rekapitulacija Posebni dio'!E123</f>
        <v>404.46000000000004</v>
      </c>
      <c r="H215" s="89">
        <f>'Rekapitulacija Posebni dio'!F123</f>
        <v>53.09</v>
      </c>
      <c r="I215" s="585">
        <f t="shared" si="78"/>
        <v>13.126143499975276</v>
      </c>
      <c r="J215" s="585">
        <f t="shared" si="79"/>
        <v>13.126143499975276</v>
      </c>
      <c r="K215" s="58"/>
      <c r="L215" s="58"/>
      <c r="M215" s="58"/>
      <c r="N215" s="58"/>
      <c r="O215" s="58"/>
      <c r="P215" s="58"/>
      <c r="Q215" s="58"/>
    </row>
    <row r="216" spans="1:17" s="62" customFormat="1" x14ac:dyDescent="0.25">
      <c r="A216" s="57"/>
      <c r="B216" s="120">
        <v>3296</v>
      </c>
      <c r="C216" s="100"/>
      <c r="D216" s="121" t="s">
        <v>151</v>
      </c>
      <c r="E216" s="52">
        <f>SUM(E217)</f>
        <v>705</v>
      </c>
      <c r="F216" s="52">
        <f>SUM(F217)</f>
        <v>4990.84</v>
      </c>
      <c r="G216" s="52">
        <f>SUM(G217)</f>
        <v>4990.84</v>
      </c>
      <c r="H216" s="52">
        <f t="shared" ref="H216" si="84">SUM(H217)</f>
        <v>15</v>
      </c>
      <c r="I216" s="591">
        <f t="shared" si="78"/>
        <v>0.30055060871516615</v>
      </c>
      <c r="J216" s="591">
        <f t="shared" si="79"/>
        <v>0.30055060871516615</v>
      </c>
      <c r="K216" s="58"/>
      <c r="L216" s="58"/>
      <c r="M216" s="58"/>
      <c r="N216" s="58"/>
      <c r="O216" s="58"/>
      <c r="P216" s="58"/>
      <c r="Q216" s="58"/>
    </row>
    <row r="217" spans="1:17" s="62" customFormat="1" x14ac:dyDescent="0.25">
      <c r="A217" s="57"/>
      <c r="B217" s="122">
        <v>32961</v>
      </c>
      <c r="C217" s="103"/>
      <c r="D217" s="123" t="s">
        <v>151</v>
      </c>
      <c r="E217" s="89">
        <f>'Rekapitulacija Posebni dio'!C125</f>
        <v>705</v>
      </c>
      <c r="F217" s="89">
        <f>'Rekapitulacija Posebni dio'!D125</f>
        <v>4990.84</v>
      </c>
      <c r="G217" s="89">
        <f>'Rekapitulacija Posebni dio'!E125</f>
        <v>4990.84</v>
      </c>
      <c r="H217" s="89">
        <f>'Rekapitulacija Posebni dio'!F125</f>
        <v>15</v>
      </c>
      <c r="I217" s="585">
        <f t="shared" si="78"/>
        <v>0.30055060871516615</v>
      </c>
      <c r="J217" s="585">
        <f t="shared" si="79"/>
        <v>0.30055060871516615</v>
      </c>
      <c r="K217" s="58"/>
      <c r="L217" s="58"/>
      <c r="M217" s="58"/>
      <c r="N217" s="58"/>
      <c r="O217" s="58"/>
      <c r="P217" s="58"/>
      <c r="Q217" s="58"/>
    </row>
    <row r="218" spans="1:17" s="62" customFormat="1" x14ac:dyDescent="0.25">
      <c r="A218" s="57"/>
      <c r="B218" s="120" t="s">
        <v>152</v>
      </c>
      <c r="C218" s="100"/>
      <c r="D218" s="121" t="s">
        <v>144</v>
      </c>
      <c r="E218" s="52">
        <f>SUM(E219:E220)</f>
        <v>5344.59</v>
      </c>
      <c r="F218" s="52">
        <f>SUM(F219:F220)</f>
        <v>5972.53</v>
      </c>
      <c r="G218" s="52">
        <f>SUM(G219:G220)</f>
        <v>5972.53</v>
      </c>
      <c r="H218" s="52">
        <f t="shared" ref="H218" si="85">SUM(H219:H220)</f>
        <v>4760.7000000000007</v>
      </c>
      <c r="I218" s="591">
        <f t="shared" si="78"/>
        <v>79.709938669207204</v>
      </c>
      <c r="J218" s="591">
        <f t="shared" si="79"/>
        <v>79.709938669207204</v>
      </c>
      <c r="K218" s="58"/>
      <c r="L218" s="58"/>
      <c r="M218" s="58"/>
      <c r="N218" s="58"/>
      <c r="O218" s="58"/>
      <c r="P218" s="58"/>
      <c r="Q218" s="58"/>
    </row>
    <row r="219" spans="1:17" s="62" customFormat="1" x14ac:dyDescent="0.25">
      <c r="A219" s="57"/>
      <c r="B219" s="122">
        <v>32991</v>
      </c>
      <c r="C219" s="103"/>
      <c r="D219" s="50" t="s">
        <v>435</v>
      </c>
      <c r="E219" s="89">
        <f>'Rekapitulacija Posebni dio'!C127</f>
        <v>50</v>
      </c>
      <c r="F219" s="89">
        <f>'Rekapitulacija Posebni dio'!D127</f>
        <v>200</v>
      </c>
      <c r="G219" s="89">
        <f>'Rekapitulacija Posebni dio'!E127</f>
        <v>200</v>
      </c>
      <c r="H219" s="89">
        <f>'Rekapitulacija Posebni dio'!F127</f>
        <v>100</v>
      </c>
      <c r="I219" s="585">
        <f t="shared" si="78"/>
        <v>50</v>
      </c>
      <c r="J219" s="585">
        <f t="shared" si="79"/>
        <v>50</v>
      </c>
      <c r="K219" s="58"/>
      <c r="L219" s="58"/>
      <c r="M219" s="58"/>
      <c r="N219" s="58"/>
      <c r="O219" s="58"/>
      <c r="P219" s="58"/>
      <c r="Q219" s="58"/>
    </row>
    <row r="220" spans="1:17" s="62" customFormat="1" x14ac:dyDescent="0.25">
      <c r="A220" s="57"/>
      <c r="B220" s="122">
        <v>32999</v>
      </c>
      <c r="C220" s="103"/>
      <c r="D220" s="50" t="s">
        <v>144</v>
      </c>
      <c r="E220" s="89">
        <f>'Rekapitulacija Posebni dio'!C128</f>
        <v>5294.59</v>
      </c>
      <c r="F220" s="89">
        <f>'Rekapitulacija Posebni dio'!D128</f>
        <v>5772.53</v>
      </c>
      <c r="G220" s="89">
        <f>'Rekapitulacija Posebni dio'!E128</f>
        <v>5772.53</v>
      </c>
      <c r="H220" s="89">
        <f>'Rekapitulacija Posebni dio'!F128</f>
        <v>4660.7000000000007</v>
      </c>
      <c r="I220" s="585">
        <f t="shared" si="78"/>
        <v>80.739294555420258</v>
      </c>
      <c r="J220" s="585">
        <f t="shared" si="79"/>
        <v>80.739294555420258</v>
      </c>
      <c r="K220" s="58"/>
      <c r="L220" s="58"/>
      <c r="M220" s="58"/>
      <c r="N220" s="58"/>
      <c r="O220" s="58"/>
      <c r="P220" s="58"/>
      <c r="Q220" s="58"/>
    </row>
    <row r="221" spans="1:17" s="62" customFormat="1" x14ac:dyDescent="0.25">
      <c r="A221" s="57"/>
      <c r="B221" s="83">
        <v>34</v>
      </c>
      <c r="C221" s="84"/>
      <c r="D221" s="85" t="s">
        <v>153</v>
      </c>
      <c r="E221" s="109">
        <f>SUM(E222)</f>
        <v>5895.57</v>
      </c>
      <c r="F221" s="109">
        <f>SUM(F222)</f>
        <v>9972.52</v>
      </c>
      <c r="G221" s="109">
        <f>SUM(G222)</f>
        <v>9972.52</v>
      </c>
      <c r="H221" s="109">
        <f t="shared" ref="H221" si="86">SUM(H222)</f>
        <v>6392.68</v>
      </c>
      <c r="I221" s="594">
        <f t="shared" si="78"/>
        <v>64.102954920120496</v>
      </c>
      <c r="J221" s="594">
        <f t="shared" si="79"/>
        <v>64.102954920120496</v>
      </c>
      <c r="K221" s="58"/>
      <c r="L221" s="58"/>
      <c r="M221" s="58"/>
      <c r="N221" s="58"/>
      <c r="O221" s="58"/>
      <c r="P221" s="58"/>
      <c r="Q221" s="58"/>
    </row>
    <row r="222" spans="1:17" s="62" customFormat="1" x14ac:dyDescent="0.25">
      <c r="A222" s="57"/>
      <c r="B222" s="99">
        <v>343</v>
      </c>
      <c r="C222" s="100"/>
      <c r="D222" s="101" t="s">
        <v>154</v>
      </c>
      <c r="E222" s="52">
        <f>E223+E225+E230</f>
        <v>5895.57</v>
      </c>
      <c r="F222" s="52">
        <f>F223+F225+F230</f>
        <v>9972.52</v>
      </c>
      <c r="G222" s="52">
        <f>G223+G225+G230</f>
        <v>9972.52</v>
      </c>
      <c r="H222" s="52">
        <f>H223+H225+H230</f>
        <v>6392.68</v>
      </c>
      <c r="I222" s="591">
        <f t="shared" si="78"/>
        <v>64.102954920120496</v>
      </c>
      <c r="J222" s="591">
        <f t="shared" si="79"/>
        <v>64.102954920120496</v>
      </c>
      <c r="K222" s="58"/>
      <c r="L222" s="58"/>
      <c r="M222" s="58"/>
      <c r="N222" s="58"/>
      <c r="O222" s="58"/>
      <c r="P222" s="58"/>
      <c r="Q222" s="58"/>
    </row>
    <row r="223" spans="1:17" s="62" customFormat="1" x14ac:dyDescent="0.25">
      <c r="A223" s="57"/>
      <c r="B223" s="99" t="s">
        <v>155</v>
      </c>
      <c r="C223" s="100"/>
      <c r="D223" s="101" t="s">
        <v>156</v>
      </c>
      <c r="E223" s="52">
        <f>SUM(E224)</f>
        <v>4177.24</v>
      </c>
      <c r="F223" s="52">
        <f>SUM(F224)</f>
        <v>5308.91</v>
      </c>
      <c r="G223" s="52">
        <f>SUM(G224)</f>
        <v>5308.91</v>
      </c>
      <c r="H223" s="52">
        <f t="shared" ref="H223" si="87">SUM(H224)</f>
        <v>5960.89</v>
      </c>
      <c r="I223" s="591">
        <f t="shared" si="78"/>
        <v>112.28086368011515</v>
      </c>
      <c r="J223" s="591">
        <f t="shared" si="79"/>
        <v>112.28086368011515</v>
      </c>
      <c r="K223" s="58"/>
      <c r="L223" s="58"/>
      <c r="M223" s="58"/>
      <c r="N223" s="58"/>
      <c r="O223" s="58"/>
      <c r="P223" s="58"/>
      <c r="Q223" s="58"/>
    </row>
    <row r="224" spans="1:17" s="62" customFormat="1" x14ac:dyDescent="0.25">
      <c r="A224" s="57"/>
      <c r="B224" s="102">
        <v>34312</v>
      </c>
      <c r="C224" s="103"/>
      <c r="D224" s="104" t="s">
        <v>156</v>
      </c>
      <c r="E224" s="89">
        <f>'Rekapitulacija Posebni dio'!C132</f>
        <v>4177.24</v>
      </c>
      <c r="F224" s="89">
        <f>'Rekapitulacija Posebni dio'!D132</f>
        <v>5308.91</v>
      </c>
      <c r="G224" s="89">
        <f>'Rekapitulacija Posebni dio'!E132</f>
        <v>5308.91</v>
      </c>
      <c r="H224" s="89">
        <f>'Rekapitulacija Posebni dio'!F132</f>
        <v>5960.89</v>
      </c>
      <c r="I224" s="585">
        <f t="shared" si="78"/>
        <v>112.28086368011515</v>
      </c>
      <c r="J224" s="585">
        <f t="shared" si="79"/>
        <v>112.28086368011515</v>
      </c>
      <c r="K224" s="58"/>
      <c r="L224" s="58"/>
      <c r="M224" s="58"/>
      <c r="N224" s="58"/>
      <c r="O224" s="58"/>
      <c r="P224" s="58"/>
      <c r="Q224" s="58"/>
    </row>
    <row r="225" spans="1:17" s="62" customFormat="1" x14ac:dyDescent="0.25">
      <c r="A225" s="57"/>
      <c r="B225" s="120">
        <v>3433</v>
      </c>
      <c r="C225" s="100"/>
      <c r="D225" s="121" t="s">
        <v>157</v>
      </c>
      <c r="E225" s="52">
        <f>SUM(E226:E229)</f>
        <v>1375.53</v>
      </c>
      <c r="F225" s="52">
        <f>SUM(F226:F229)</f>
        <v>4663.6099999999997</v>
      </c>
      <c r="G225" s="52">
        <f>SUM(G226:G229)</f>
        <v>4663.6099999999997</v>
      </c>
      <c r="H225" s="52">
        <f t="shared" ref="H225" si="88">SUM(H226:H229)</f>
        <v>431.79</v>
      </c>
      <c r="I225" s="591">
        <f t="shared" si="78"/>
        <v>9.2587073104311912</v>
      </c>
      <c r="J225" s="591">
        <f t="shared" si="79"/>
        <v>9.2587073104311912</v>
      </c>
      <c r="K225" s="58"/>
      <c r="L225" s="58"/>
      <c r="M225" s="58"/>
      <c r="N225" s="58"/>
      <c r="O225" s="58"/>
      <c r="P225" s="58"/>
      <c r="Q225" s="58"/>
    </row>
    <row r="226" spans="1:17" s="62" customFormat="1" x14ac:dyDescent="0.25">
      <c r="A226" s="57"/>
      <c r="B226" s="45">
        <v>34331</v>
      </c>
      <c r="C226" s="103"/>
      <c r="D226" s="46" t="s">
        <v>438</v>
      </c>
      <c r="E226" s="89">
        <f>'Rekapitulacija Posebni dio'!C135</f>
        <v>11.9</v>
      </c>
      <c r="F226" s="89">
        <f>'Rekapitulacija Posebni dio'!D135</f>
        <v>100</v>
      </c>
      <c r="G226" s="89">
        <f>'Rekapitulacija Posebni dio'!E135</f>
        <v>100</v>
      </c>
      <c r="H226" s="89">
        <f>'Rekapitulacija Posebni dio'!F135</f>
        <v>0</v>
      </c>
      <c r="I226" s="585">
        <f t="shared" si="78"/>
        <v>0</v>
      </c>
      <c r="J226" s="585">
        <f t="shared" si="79"/>
        <v>0</v>
      </c>
      <c r="K226" s="58"/>
      <c r="L226" s="58"/>
      <c r="M226" s="58"/>
      <c r="N226" s="58"/>
      <c r="O226" s="58"/>
      <c r="P226" s="58"/>
      <c r="Q226" s="58"/>
    </row>
    <row r="227" spans="1:17" s="62" customFormat="1" x14ac:dyDescent="0.25">
      <c r="A227" s="57"/>
      <c r="B227" s="45">
        <v>34332</v>
      </c>
      <c r="C227" s="103"/>
      <c r="D227" s="46" t="s">
        <v>439</v>
      </c>
      <c r="E227" s="89">
        <f>'Rekapitulacija Posebni dio'!C136</f>
        <v>315.98</v>
      </c>
      <c r="F227" s="89">
        <f>'Rekapitulacija Posebni dio'!D136</f>
        <v>550</v>
      </c>
      <c r="G227" s="89">
        <f>'Rekapitulacija Posebni dio'!E136</f>
        <v>550</v>
      </c>
      <c r="H227" s="89">
        <f>'Rekapitulacija Posebni dio'!F136</f>
        <v>0</v>
      </c>
      <c r="I227" s="585">
        <f t="shared" si="78"/>
        <v>0</v>
      </c>
      <c r="J227" s="585">
        <f t="shared" si="79"/>
        <v>0</v>
      </c>
      <c r="K227" s="58"/>
      <c r="L227" s="58"/>
      <c r="M227" s="58"/>
      <c r="N227" s="58"/>
      <c r="O227" s="58"/>
      <c r="P227" s="58"/>
      <c r="Q227" s="58"/>
    </row>
    <row r="228" spans="1:17" s="62" customFormat="1" x14ac:dyDescent="0.25">
      <c r="A228" s="57"/>
      <c r="B228" s="45">
        <v>34333</v>
      </c>
      <c r="C228" s="103"/>
      <c r="D228" s="46" t="s">
        <v>440</v>
      </c>
      <c r="E228" s="89">
        <f>'Rekapitulacija Posebni dio'!C137</f>
        <v>486.7</v>
      </c>
      <c r="F228" s="89">
        <f>'Rekapitulacija Posebni dio'!D137</f>
        <v>75</v>
      </c>
      <c r="G228" s="89">
        <f>'Rekapitulacija Posebni dio'!E137</f>
        <v>75</v>
      </c>
      <c r="H228" s="89">
        <f>'Rekapitulacija Posebni dio'!F137</f>
        <v>431.79</v>
      </c>
      <c r="I228" s="585">
        <f t="shared" si="78"/>
        <v>575.72</v>
      </c>
      <c r="J228" s="585">
        <f t="shared" si="79"/>
        <v>575.72</v>
      </c>
      <c r="K228" s="58"/>
      <c r="L228" s="58"/>
      <c r="M228" s="58"/>
      <c r="N228" s="58"/>
      <c r="O228" s="58"/>
      <c r="P228" s="58"/>
      <c r="Q228" s="58"/>
    </row>
    <row r="229" spans="1:17" s="62" customFormat="1" x14ac:dyDescent="0.25">
      <c r="A229" s="57"/>
      <c r="B229" s="49">
        <v>34339</v>
      </c>
      <c r="C229" s="103"/>
      <c r="D229" s="50" t="s">
        <v>441</v>
      </c>
      <c r="E229" s="89">
        <f>'Rekapitulacija Posebni dio'!C138</f>
        <v>560.95000000000005</v>
      </c>
      <c r="F229" s="89">
        <f>'Rekapitulacija Posebni dio'!D138</f>
        <v>3938.6099999999997</v>
      </c>
      <c r="G229" s="89">
        <f>'Rekapitulacija Posebni dio'!E138</f>
        <v>3938.6099999999997</v>
      </c>
      <c r="H229" s="89">
        <f>'Rekapitulacija Posebni dio'!F138</f>
        <v>0</v>
      </c>
      <c r="I229" s="585">
        <f t="shared" si="78"/>
        <v>0</v>
      </c>
      <c r="J229" s="585">
        <f t="shared" si="79"/>
        <v>0</v>
      </c>
      <c r="K229" s="58"/>
      <c r="L229" s="58"/>
      <c r="M229" s="58"/>
      <c r="N229" s="58"/>
      <c r="O229" s="58"/>
      <c r="P229" s="58"/>
      <c r="Q229" s="58"/>
    </row>
    <row r="230" spans="1:17" s="62" customFormat="1" x14ac:dyDescent="0.25">
      <c r="A230" s="57"/>
      <c r="B230" s="120">
        <v>3434</v>
      </c>
      <c r="C230" s="100"/>
      <c r="D230" s="121" t="s">
        <v>158</v>
      </c>
      <c r="E230" s="52">
        <f>E231</f>
        <v>342.8</v>
      </c>
      <c r="F230" s="52">
        <f>F231</f>
        <v>0</v>
      </c>
      <c r="G230" s="52">
        <f>G231</f>
        <v>0</v>
      </c>
      <c r="H230" s="52">
        <f>H231</f>
        <v>0</v>
      </c>
      <c r="I230" s="591">
        <f t="shared" si="78"/>
        <v>0</v>
      </c>
      <c r="J230" s="591">
        <f t="shared" si="79"/>
        <v>0</v>
      </c>
      <c r="K230" s="58"/>
      <c r="L230" s="58"/>
      <c r="M230" s="58"/>
      <c r="N230" s="58"/>
      <c r="O230" s="58"/>
      <c r="P230" s="58"/>
      <c r="Q230" s="58"/>
    </row>
    <row r="231" spans="1:17" s="62" customFormat="1" x14ac:dyDescent="0.25">
      <c r="A231" s="57"/>
      <c r="B231" s="122">
        <v>34349</v>
      </c>
      <c r="C231" s="103"/>
      <c r="D231" s="123" t="s">
        <v>291</v>
      </c>
      <c r="E231" s="89">
        <f>'Rekapitulacija Posebni dio'!C140</f>
        <v>342.8</v>
      </c>
      <c r="F231" s="89">
        <f>'Rekapitulacija Posebni dio'!D140</f>
        <v>0</v>
      </c>
      <c r="G231" s="89">
        <f>'Rekapitulacija Posebni dio'!E140</f>
        <v>0</v>
      </c>
      <c r="H231" s="89">
        <f>'Rekapitulacija Posebni dio'!F140</f>
        <v>0</v>
      </c>
      <c r="I231" s="585">
        <f t="shared" si="78"/>
        <v>0</v>
      </c>
      <c r="J231" s="585">
        <f t="shared" si="79"/>
        <v>0</v>
      </c>
      <c r="K231" s="58"/>
      <c r="L231" s="58"/>
      <c r="M231" s="58"/>
      <c r="N231" s="58"/>
      <c r="O231" s="58"/>
      <c r="P231" s="58"/>
      <c r="Q231" s="58"/>
    </row>
    <row r="232" spans="1:17" s="62" customFormat="1" x14ac:dyDescent="0.25">
      <c r="A232" s="57"/>
      <c r="B232" s="124">
        <v>36</v>
      </c>
      <c r="C232" s="125"/>
      <c r="D232" s="126" t="s">
        <v>159</v>
      </c>
      <c r="E232" s="109">
        <f>E233</f>
        <v>0</v>
      </c>
      <c r="F232" s="109">
        <f>F233</f>
        <v>0</v>
      </c>
      <c r="G232" s="109">
        <f>G233</f>
        <v>0</v>
      </c>
      <c r="H232" s="109">
        <f t="shared" ref="H232" si="89">H233</f>
        <v>0</v>
      </c>
      <c r="I232" s="594">
        <f t="shared" si="78"/>
        <v>0</v>
      </c>
      <c r="J232" s="594">
        <f t="shared" si="79"/>
        <v>0</v>
      </c>
      <c r="K232" s="58"/>
      <c r="L232" s="58"/>
      <c r="M232" s="58"/>
      <c r="N232" s="58"/>
      <c r="O232" s="58"/>
      <c r="P232" s="58"/>
      <c r="Q232" s="58"/>
    </row>
    <row r="233" spans="1:17" s="62" customFormat="1" x14ac:dyDescent="0.25">
      <c r="A233" s="57"/>
      <c r="B233" s="120">
        <v>369</v>
      </c>
      <c r="C233" s="100"/>
      <c r="D233" s="121" t="s">
        <v>38</v>
      </c>
      <c r="E233" s="52">
        <f>SUM(E235,E234)</f>
        <v>0</v>
      </c>
      <c r="F233" s="52">
        <f>SUM(F235,F234)</f>
        <v>0</v>
      </c>
      <c r="G233" s="52">
        <f>SUM(G235,G234)</f>
        <v>0</v>
      </c>
      <c r="H233" s="52">
        <f t="shared" ref="H233" si="90">SUM(H235,H234)</f>
        <v>0</v>
      </c>
      <c r="I233" s="591">
        <f t="shared" si="78"/>
        <v>0</v>
      </c>
      <c r="J233" s="591">
        <f t="shared" si="79"/>
        <v>0</v>
      </c>
      <c r="K233" s="58"/>
      <c r="L233" s="58"/>
      <c r="M233" s="58"/>
      <c r="N233" s="58"/>
      <c r="O233" s="58"/>
      <c r="P233" s="58"/>
      <c r="Q233" s="58"/>
    </row>
    <row r="234" spans="1:17" s="62" customFormat="1" x14ac:dyDescent="0.25">
      <c r="A234" s="57"/>
      <c r="B234" s="120">
        <v>3691</v>
      </c>
      <c r="C234" s="100"/>
      <c r="D234" s="121" t="s">
        <v>160</v>
      </c>
      <c r="E234" s="52"/>
      <c r="F234" s="52"/>
      <c r="G234" s="52"/>
      <c r="H234" s="52"/>
      <c r="I234" s="591">
        <f t="shared" si="78"/>
        <v>0</v>
      </c>
      <c r="J234" s="591">
        <f t="shared" si="79"/>
        <v>0</v>
      </c>
      <c r="K234" s="58"/>
      <c r="L234" s="58"/>
      <c r="M234" s="58"/>
      <c r="N234" s="58"/>
      <c r="O234" s="58"/>
      <c r="P234" s="58"/>
      <c r="Q234" s="58"/>
    </row>
    <row r="235" spans="1:17" s="62" customFormat="1" x14ac:dyDescent="0.25">
      <c r="A235" s="57"/>
      <c r="B235" s="120">
        <v>3692</v>
      </c>
      <c r="C235" s="100"/>
      <c r="D235" s="121" t="s">
        <v>161</v>
      </c>
      <c r="E235" s="52"/>
      <c r="F235" s="52"/>
      <c r="G235" s="52"/>
      <c r="H235" s="52"/>
      <c r="I235" s="591">
        <f t="shared" si="78"/>
        <v>0</v>
      </c>
      <c r="J235" s="591">
        <f t="shared" si="79"/>
        <v>0</v>
      </c>
      <c r="K235" s="58"/>
      <c r="L235" s="58"/>
      <c r="M235" s="58"/>
      <c r="N235" s="58"/>
      <c r="O235" s="58"/>
      <c r="P235" s="58"/>
      <c r="Q235" s="58"/>
    </row>
    <row r="236" spans="1:17" s="62" customFormat="1" x14ac:dyDescent="0.2">
      <c r="A236" s="57"/>
      <c r="B236" s="124">
        <v>37</v>
      </c>
      <c r="C236" s="125"/>
      <c r="D236" s="127" t="s">
        <v>162</v>
      </c>
      <c r="E236" s="109">
        <f t="shared" ref="E236:H237" si="91">SUM(E237)</f>
        <v>9591.11</v>
      </c>
      <c r="F236" s="109">
        <f t="shared" si="91"/>
        <v>2000</v>
      </c>
      <c r="G236" s="109">
        <f t="shared" si="91"/>
        <v>2000</v>
      </c>
      <c r="H236" s="109">
        <f t="shared" si="91"/>
        <v>0</v>
      </c>
      <c r="I236" s="594">
        <f t="shared" si="78"/>
        <v>0</v>
      </c>
      <c r="J236" s="594">
        <f t="shared" si="79"/>
        <v>0</v>
      </c>
      <c r="K236" s="58"/>
      <c r="L236" s="58"/>
      <c r="M236" s="58"/>
      <c r="N236" s="58"/>
      <c r="O236" s="58"/>
      <c r="P236" s="58"/>
      <c r="Q236" s="58"/>
    </row>
    <row r="237" spans="1:17" s="62" customFormat="1" x14ac:dyDescent="0.2">
      <c r="A237" s="57"/>
      <c r="B237" s="120">
        <v>372</v>
      </c>
      <c r="C237" s="100"/>
      <c r="D237" s="128" t="s">
        <v>163</v>
      </c>
      <c r="E237" s="52">
        <f>SUM(E238)</f>
        <v>9591.11</v>
      </c>
      <c r="F237" s="52">
        <f>SUM(F238)</f>
        <v>2000</v>
      </c>
      <c r="G237" s="52">
        <f>SUM(G238)</f>
        <v>2000</v>
      </c>
      <c r="H237" s="52">
        <f t="shared" si="91"/>
        <v>0</v>
      </c>
      <c r="I237" s="591">
        <f t="shared" si="78"/>
        <v>0</v>
      </c>
      <c r="J237" s="591">
        <f t="shared" si="79"/>
        <v>0</v>
      </c>
      <c r="K237" s="58"/>
      <c r="L237" s="58"/>
      <c r="M237" s="58"/>
      <c r="N237" s="58"/>
      <c r="O237" s="58"/>
      <c r="P237" s="58"/>
      <c r="Q237" s="58"/>
    </row>
    <row r="238" spans="1:17" s="62" customFormat="1" x14ac:dyDescent="0.2">
      <c r="A238" s="57"/>
      <c r="B238" s="120">
        <v>3721</v>
      </c>
      <c r="C238" s="82"/>
      <c r="D238" s="129" t="s">
        <v>164</v>
      </c>
      <c r="E238" s="52">
        <f>SUM(E239:E240)</f>
        <v>9591.11</v>
      </c>
      <c r="F238" s="52">
        <f>SUM(F239:F240)</f>
        <v>2000</v>
      </c>
      <c r="G238" s="52">
        <f>SUM(G239:G240)</f>
        <v>2000</v>
      </c>
      <c r="H238" s="52">
        <f t="shared" ref="H238" si="92">SUM(H239:H240)</f>
        <v>0</v>
      </c>
      <c r="I238" s="591">
        <f t="shared" si="78"/>
        <v>0</v>
      </c>
      <c r="J238" s="591">
        <f t="shared" si="79"/>
        <v>0</v>
      </c>
      <c r="K238" s="58"/>
      <c r="L238" s="58"/>
      <c r="M238" s="58"/>
      <c r="N238" s="58"/>
      <c r="O238" s="58"/>
      <c r="P238" s="58"/>
      <c r="Q238" s="58"/>
    </row>
    <row r="239" spans="1:17" s="62" customFormat="1" x14ac:dyDescent="0.25">
      <c r="A239" s="57"/>
      <c r="B239" s="49">
        <v>37212</v>
      </c>
      <c r="C239" s="100"/>
      <c r="D239" s="50" t="s">
        <v>492</v>
      </c>
      <c r="E239" s="89">
        <f>'Rekapitulacija Posebni dio'!C147</f>
        <v>0</v>
      </c>
      <c r="F239" s="89">
        <f>'Rekapitulacija Posebni dio'!D147</f>
        <v>1500</v>
      </c>
      <c r="G239" s="89">
        <f>'Rekapitulacija Posebni dio'!E147</f>
        <v>1500</v>
      </c>
      <c r="H239" s="52"/>
      <c r="I239" s="591">
        <f t="shared" si="78"/>
        <v>0</v>
      </c>
      <c r="J239" s="591">
        <f t="shared" si="79"/>
        <v>0</v>
      </c>
      <c r="K239" s="58"/>
      <c r="L239" s="58"/>
      <c r="M239" s="58"/>
      <c r="N239" s="58"/>
      <c r="O239" s="58"/>
      <c r="P239" s="58"/>
      <c r="Q239" s="58"/>
    </row>
    <row r="240" spans="1:17" s="62" customFormat="1" x14ac:dyDescent="0.25">
      <c r="A240" s="57"/>
      <c r="B240" s="49">
        <v>37215</v>
      </c>
      <c r="C240" s="103"/>
      <c r="D240" s="50" t="s">
        <v>443</v>
      </c>
      <c r="E240" s="89">
        <f>'Rekapitulacija Posebni dio'!C148</f>
        <v>9591.11</v>
      </c>
      <c r="F240" s="89">
        <f>'Rekapitulacija Posebni dio'!D148</f>
        <v>500</v>
      </c>
      <c r="G240" s="89">
        <f>'Rekapitulacija Posebni dio'!E148</f>
        <v>500</v>
      </c>
      <c r="H240" s="89">
        <f>'Rekapitulacija Posebni dio'!F148</f>
        <v>0</v>
      </c>
      <c r="I240" s="585">
        <f t="shared" si="78"/>
        <v>0</v>
      </c>
      <c r="J240" s="585">
        <f t="shared" si="79"/>
        <v>0</v>
      </c>
      <c r="K240" s="58"/>
      <c r="L240" s="58"/>
      <c r="M240" s="58"/>
      <c r="N240" s="58"/>
      <c r="O240" s="58"/>
      <c r="P240" s="58"/>
      <c r="Q240" s="58"/>
    </row>
    <row r="241" spans="1:17" s="62" customFormat="1" x14ac:dyDescent="0.25">
      <c r="A241" s="57"/>
      <c r="B241" s="83" t="s">
        <v>165</v>
      </c>
      <c r="C241" s="84"/>
      <c r="D241" s="85" t="s">
        <v>98</v>
      </c>
      <c r="E241" s="109">
        <f>E244+E242+E250</f>
        <v>476.22</v>
      </c>
      <c r="F241" s="109">
        <f>F244+F242+F250</f>
        <v>500</v>
      </c>
      <c r="G241" s="109">
        <f>G244+G242+G250</f>
        <v>500</v>
      </c>
      <c r="H241" s="109">
        <f>H244+H242+H250</f>
        <v>850.30000000000007</v>
      </c>
      <c r="I241" s="594">
        <f t="shared" si="78"/>
        <v>170.06</v>
      </c>
      <c r="J241" s="594">
        <f t="shared" si="79"/>
        <v>170.06</v>
      </c>
      <c r="K241" s="58"/>
      <c r="L241" s="58"/>
      <c r="M241" s="58"/>
      <c r="N241" s="58"/>
      <c r="O241" s="58"/>
      <c r="P241" s="58"/>
      <c r="Q241" s="58"/>
    </row>
    <row r="242" spans="1:17" s="62" customFormat="1" x14ac:dyDescent="0.25">
      <c r="A242" s="57"/>
      <c r="B242" s="87" t="s">
        <v>166</v>
      </c>
      <c r="C242" s="82"/>
      <c r="D242" s="95" t="s">
        <v>167</v>
      </c>
      <c r="E242" s="52">
        <f>E243</f>
        <v>0</v>
      </c>
      <c r="F242" s="52">
        <f>F243</f>
        <v>0</v>
      </c>
      <c r="G242" s="52">
        <f>G243</f>
        <v>0</v>
      </c>
      <c r="H242" s="52">
        <f t="shared" ref="H242" si="93">H243</f>
        <v>0</v>
      </c>
      <c r="I242" s="591">
        <f t="shared" si="78"/>
        <v>0</v>
      </c>
      <c r="J242" s="591">
        <f t="shared" si="79"/>
        <v>0</v>
      </c>
      <c r="K242" s="58"/>
      <c r="L242" s="58"/>
      <c r="M242" s="58"/>
      <c r="N242" s="58"/>
      <c r="O242" s="58"/>
      <c r="P242" s="58"/>
      <c r="Q242" s="58"/>
    </row>
    <row r="243" spans="1:17" s="62" customFormat="1" x14ac:dyDescent="0.25">
      <c r="A243" s="57"/>
      <c r="B243" s="87" t="s">
        <v>168</v>
      </c>
      <c r="C243" s="82"/>
      <c r="D243" s="95" t="s">
        <v>167</v>
      </c>
      <c r="E243" s="52"/>
      <c r="F243" s="52"/>
      <c r="G243" s="52"/>
      <c r="H243" s="52"/>
      <c r="I243" s="591">
        <f t="shared" si="78"/>
        <v>0</v>
      </c>
      <c r="J243" s="591">
        <f t="shared" si="79"/>
        <v>0</v>
      </c>
      <c r="K243" s="58"/>
      <c r="L243" s="58"/>
      <c r="M243" s="58"/>
      <c r="N243" s="58"/>
      <c r="O243" s="58"/>
      <c r="P243" s="58"/>
      <c r="Q243" s="58"/>
    </row>
    <row r="244" spans="1:17" s="62" customFormat="1" x14ac:dyDescent="0.25">
      <c r="A244" s="57"/>
      <c r="B244" s="120">
        <v>383</v>
      </c>
      <c r="C244" s="100"/>
      <c r="D244" s="121" t="s">
        <v>169</v>
      </c>
      <c r="E244" s="52">
        <f>E245+E246+E247+E249</f>
        <v>476.22</v>
      </c>
      <c r="F244" s="52">
        <f>F245+F246+F247+F249</f>
        <v>500</v>
      </c>
      <c r="G244" s="52">
        <f>G245+G246+G247+G249</f>
        <v>500</v>
      </c>
      <c r="H244" s="52">
        <f t="shared" ref="H244" si="94">H245+H246+H247+H249</f>
        <v>694.07</v>
      </c>
      <c r="I244" s="591">
        <f t="shared" si="78"/>
        <v>138.81400000000002</v>
      </c>
      <c r="J244" s="591">
        <f t="shared" si="79"/>
        <v>138.81400000000002</v>
      </c>
      <c r="K244" s="58"/>
      <c r="L244" s="58"/>
      <c r="M244" s="58"/>
      <c r="N244" s="58"/>
      <c r="O244" s="58"/>
      <c r="P244" s="58"/>
      <c r="Q244" s="58"/>
    </row>
    <row r="245" spans="1:17" s="62" customFormat="1" x14ac:dyDescent="0.25">
      <c r="A245" s="57"/>
      <c r="B245" s="120">
        <v>3831</v>
      </c>
      <c r="C245" s="100"/>
      <c r="D245" s="121" t="s">
        <v>170</v>
      </c>
      <c r="E245" s="52"/>
      <c r="F245" s="52"/>
      <c r="G245" s="52"/>
      <c r="H245" s="52"/>
      <c r="I245" s="591">
        <f t="shared" si="78"/>
        <v>0</v>
      </c>
      <c r="J245" s="591">
        <f t="shared" si="79"/>
        <v>0</v>
      </c>
      <c r="K245" s="58"/>
      <c r="L245" s="58"/>
      <c r="M245" s="58"/>
      <c r="N245" s="58"/>
      <c r="O245" s="58"/>
      <c r="P245" s="58"/>
      <c r="Q245" s="58"/>
    </row>
    <row r="246" spans="1:17" s="62" customFormat="1" x14ac:dyDescent="0.25">
      <c r="A246" s="57"/>
      <c r="B246" s="120">
        <v>3833</v>
      </c>
      <c r="C246" s="100"/>
      <c r="D246" s="121" t="s">
        <v>171</v>
      </c>
      <c r="E246" s="52"/>
      <c r="F246" s="52"/>
      <c r="G246" s="52"/>
      <c r="H246" s="52"/>
      <c r="I246" s="591">
        <f t="shared" si="78"/>
        <v>0</v>
      </c>
      <c r="J246" s="591">
        <f t="shared" si="79"/>
        <v>0</v>
      </c>
      <c r="K246" s="58"/>
      <c r="L246" s="58"/>
      <c r="M246" s="58"/>
      <c r="N246" s="58"/>
      <c r="O246" s="58"/>
      <c r="P246" s="58"/>
      <c r="Q246" s="58"/>
    </row>
    <row r="247" spans="1:17" s="62" customFormat="1" x14ac:dyDescent="0.25">
      <c r="A247" s="57"/>
      <c r="B247" s="120">
        <v>3834</v>
      </c>
      <c r="C247" s="100"/>
      <c r="D247" s="121" t="s">
        <v>172</v>
      </c>
      <c r="E247" s="52">
        <f>SUM(E248)</f>
        <v>476.22</v>
      </c>
      <c r="F247" s="52">
        <f>SUM(F248)</f>
        <v>500</v>
      </c>
      <c r="G247" s="52">
        <f>SUM(G248)</f>
        <v>500</v>
      </c>
      <c r="H247" s="52">
        <f t="shared" ref="H247" si="95">SUM(H248)</f>
        <v>694.07</v>
      </c>
      <c r="I247" s="591">
        <f t="shared" si="78"/>
        <v>138.81400000000002</v>
      </c>
      <c r="J247" s="591">
        <f t="shared" si="79"/>
        <v>138.81400000000002</v>
      </c>
      <c r="K247" s="58"/>
      <c r="L247" s="58"/>
      <c r="M247" s="58"/>
      <c r="N247" s="58"/>
      <c r="O247" s="58"/>
      <c r="P247" s="58"/>
      <c r="Q247" s="58"/>
    </row>
    <row r="248" spans="1:17" s="62" customFormat="1" x14ac:dyDescent="0.25">
      <c r="A248" s="57"/>
      <c r="B248" s="122">
        <v>38341</v>
      </c>
      <c r="C248" s="103"/>
      <c r="D248" s="123" t="s">
        <v>172</v>
      </c>
      <c r="E248" s="89">
        <f>'Rekapitulacija Posebni dio'!C156</f>
        <v>476.22</v>
      </c>
      <c r="F248" s="89">
        <f>'Rekapitulacija Posebni dio'!D156</f>
        <v>500</v>
      </c>
      <c r="G248" s="89">
        <f>'Rekapitulacija Posebni dio'!E156</f>
        <v>500</v>
      </c>
      <c r="H248" s="89">
        <f>'Rekapitulacija Posebni dio'!F156</f>
        <v>694.07</v>
      </c>
      <c r="I248" s="585">
        <f t="shared" si="78"/>
        <v>138.81400000000002</v>
      </c>
      <c r="J248" s="585">
        <f t="shared" si="79"/>
        <v>138.81400000000002</v>
      </c>
      <c r="K248" s="58"/>
      <c r="L248" s="58"/>
      <c r="M248" s="58"/>
      <c r="N248" s="58"/>
      <c r="O248" s="58"/>
      <c r="P248" s="58"/>
      <c r="Q248" s="58"/>
    </row>
    <row r="249" spans="1:17" s="62" customFormat="1" x14ac:dyDescent="0.25">
      <c r="A249" s="57"/>
      <c r="B249" s="120">
        <v>3835</v>
      </c>
      <c r="C249" s="100"/>
      <c r="D249" s="121" t="s">
        <v>173</v>
      </c>
      <c r="E249" s="52"/>
      <c r="F249" s="52"/>
      <c r="G249" s="52"/>
      <c r="H249" s="52"/>
      <c r="I249" s="591">
        <f t="shared" si="78"/>
        <v>0</v>
      </c>
      <c r="J249" s="591">
        <f t="shared" si="79"/>
        <v>0</v>
      </c>
      <c r="K249" s="58"/>
      <c r="L249" s="58"/>
      <c r="M249" s="58"/>
      <c r="N249" s="58"/>
      <c r="O249" s="58"/>
      <c r="P249" s="58"/>
      <c r="Q249" s="58"/>
    </row>
    <row r="250" spans="1:17" s="62" customFormat="1" x14ac:dyDescent="0.25">
      <c r="A250" s="57"/>
      <c r="B250" s="47">
        <v>385</v>
      </c>
      <c r="C250" s="48"/>
      <c r="D250" s="48" t="s">
        <v>169</v>
      </c>
      <c r="E250" s="52">
        <f>E253</f>
        <v>0</v>
      </c>
      <c r="F250" s="52">
        <f>F253</f>
        <v>0</v>
      </c>
      <c r="G250" s="52">
        <f>G251+G253</f>
        <v>0</v>
      </c>
      <c r="H250" s="52">
        <f>H251+H253</f>
        <v>156.22999999999999</v>
      </c>
      <c r="I250" s="591">
        <f t="shared" si="78"/>
        <v>156.22999999999999</v>
      </c>
      <c r="J250" s="591">
        <f t="shared" si="79"/>
        <v>156.22999999999999</v>
      </c>
      <c r="K250" s="58"/>
      <c r="L250" s="58"/>
      <c r="M250" s="58"/>
      <c r="N250" s="58"/>
      <c r="O250" s="58"/>
      <c r="P250" s="58"/>
      <c r="Q250" s="58"/>
    </row>
    <row r="251" spans="1:17" s="62" customFormat="1" x14ac:dyDescent="0.25">
      <c r="A251" s="57"/>
      <c r="B251" s="47">
        <v>3851</v>
      </c>
      <c r="C251" s="48"/>
      <c r="D251" s="48" t="s">
        <v>615</v>
      </c>
      <c r="E251" s="52"/>
      <c r="F251" s="52"/>
      <c r="G251" s="52">
        <f>G252</f>
        <v>0</v>
      </c>
      <c r="H251" s="52">
        <f>H252</f>
        <v>156.22999999999999</v>
      </c>
      <c r="I251" s="591">
        <f t="shared" si="78"/>
        <v>156.22999999999999</v>
      </c>
      <c r="J251" s="591">
        <f t="shared" si="79"/>
        <v>156.22999999999999</v>
      </c>
      <c r="K251" s="58"/>
      <c r="L251" s="58"/>
      <c r="M251" s="58"/>
      <c r="N251" s="58"/>
      <c r="O251" s="58"/>
      <c r="P251" s="58"/>
      <c r="Q251" s="58"/>
    </row>
    <row r="252" spans="1:17" s="62" customFormat="1" x14ac:dyDescent="0.25">
      <c r="A252" s="57"/>
      <c r="B252" s="49">
        <v>38511</v>
      </c>
      <c r="C252" s="50"/>
      <c r="D252" s="50" t="s">
        <v>616</v>
      </c>
      <c r="E252" s="89"/>
      <c r="F252" s="89"/>
      <c r="G252" s="89">
        <f>'Rekapitulacija Posebni dio'!E160</f>
        <v>0</v>
      </c>
      <c r="H252" s="89">
        <f>'Rekapitulacija Posebni dio'!F160</f>
        <v>156.22999999999999</v>
      </c>
      <c r="I252" s="585">
        <f t="shared" si="78"/>
        <v>156.22999999999999</v>
      </c>
      <c r="J252" s="585">
        <f t="shared" si="79"/>
        <v>156.22999999999999</v>
      </c>
      <c r="K252" s="58"/>
      <c r="L252" s="58"/>
      <c r="M252" s="58"/>
      <c r="N252" s="58"/>
      <c r="O252" s="58"/>
      <c r="P252" s="58"/>
      <c r="Q252" s="58"/>
    </row>
    <row r="253" spans="1:17" s="62" customFormat="1" x14ac:dyDescent="0.25">
      <c r="A253" s="57"/>
      <c r="B253" s="47">
        <v>3859</v>
      </c>
      <c r="C253" s="48"/>
      <c r="D253" s="48" t="s">
        <v>298</v>
      </c>
      <c r="E253" s="52">
        <f>E254</f>
        <v>0</v>
      </c>
      <c r="F253" s="52">
        <f>F254</f>
        <v>0</v>
      </c>
      <c r="G253" s="52">
        <f>G254</f>
        <v>0</v>
      </c>
      <c r="H253" s="52">
        <f>H254</f>
        <v>0</v>
      </c>
      <c r="I253" s="591">
        <f t="shared" si="78"/>
        <v>0</v>
      </c>
      <c r="J253" s="591">
        <f t="shared" si="79"/>
        <v>0</v>
      </c>
      <c r="K253" s="58"/>
      <c r="L253" s="58"/>
      <c r="M253" s="58"/>
      <c r="N253" s="58"/>
      <c r="O253" s="58"/>
      <c r="P253" s="58"/>
      <c r="Q253" s="58"/>
    </row>
    <row r="254" spans="1:17" s="62" customFormat="1" x14ac:dyDescent="0.25">
      <c r="A254" s="57"/>
      <c r="B254" s="49">
        <v>38591</v>
      </c>
      <c r="C254" s="50"/>
      <c r="D254" s="50" t="s">
        <v>298</v>
      </c>
      <c r="E254" s="89">
        <f>'Rekapitulacija Posebni dio'!C162</f>
        <v>0</v>
      </c>
      <c r="F254" s="89">
        <f>'Rekapitulacija Posebni dio'!D162</f>
        <v>0</v>
      </c>
      <c r="G254" s="89">
        <f>'Rekapitulacija Posebni dio'!E162</f>
        <v>0</v>
      </c>
      <c r="H254" s="89">
        <f>'Rekapitulacija Posebni dio'!F162</f>
        <v>0</v>
      </c>
      <c r="I254" s="585">
        <f t="shared" si="78"/>
        <v>0</v>
      </c>
      <c r="J254" s="585">
        <f t="shared" si="79"/>
        <v>0</v>
      </c>
      <c r="K254" s="58"/>
      <c r="L254" s="58"/>
      <c r="M254" s="58"/>
      <c r="N254" s="58"/>
      <c r="O254" s="58"/>
      <c r="P254" s="58"/>
      <c r="Q254" s="58"/>
    </row>
    <row r="255" spans="1:17" s="62" customFormat="1" x14ac:dyDescent="0.25">
      <c r="A255" s="130">
        <v>4</v>
      </c>
      <c r="B255" s="106"/>
      <c r="C255" s="131"/>
      <c r="D255" s="132" t="s">
        <v>174</v>
      </c>
      <c r="E255" s="108">
        <f>E256+E261+E283</f>
        <v>20996.03</v>
      </c>
      <c r="F255" s="108">
        <f>F256+F261+F283</f>
        <v>125512.17000000001</v>
      </c>
      <c r="G255" s="108">
        <f>G256+G261+G283</f>
        <v>125512.17000000001</v>
      </c>
      <c r="H255" s="108">
        <f t="shared" ref="H255" si="96">H256+H261+H283</f>
        <v>4072.4100000000035</v>
      </c>
      <c r="I255" s="598">
        <f t="shared" si="78"/>
        <v>3.2446335682029903</v>
      </c>
      <c r="J255" s="598">
        <f t="shared" si="79"/>
        <v>3.2446335682029903</v>
      </c>
      <c r="K255" s="58"/>
      <c r="L255" s="58"/>
      <c r="M255" s="58"/>
      <c r="N255" s="58"/>
      <c r="O255" s="58"/>
      <c r="P255" s="58"/>
      <c r="Q255" s="58"/>
    </row>
    <row r="256" spans="1:17" s="62" customFormat="1" x14ac:dyDescent="0.25">
      <c r="A256" s="133"/>
      <c r="B256" s="83" t="s">
        <v>175</v>
      </c>
      <c r="C256" s="84"/>
      <c r="D256" s="111" t="s">
        <v>176</v>
      </c>
      <c r="E256" s="109">
        <f>SUM(E259)</f>
        <v>0</v>
      </c>
      <c r="F256" s="109">
        <f>SUM(F259)</f>
        <v>0</v>
      </c>
      <c r="G256" s="109">
        <f>SUM(G259)</f>
        <v>0</v>
      </c>
      <c r="H256" s="109">
        <f t="shared" ref="H256" si="97">SUM(H259)</f>
        <v>0</v>
      </c>
      <c r="I256" s="594">
        <f t="shared" si="78"/>
        <v>0</v>
      </c>
      <c r="J256" s="594">
        <f t="shared" si="79"/>
        <v>0</v>
      </c>
      <c r="K256" s="58"/>
      <c r="L256" s="58"/>
      <c r="M256" s="58"/>
      <c r="N256" s="58"/>
      <c r="O256" s="58"/>
      <c r="P256" s="58"/>
      <c r="Q256" s="58"/>
    </row>
    <row r="257" spans="1:17" s="62" customFormat="1" hidden="1" x14ac:dyDescent="0.25">
      <c r="A257" s="133"/>
      <c r="B257" s="87" t="s">
        <v>177</v>
      </c>
      <c r="C257" s="82"/>
      <c r="D257" s="134" t="s">
        <v>178</v>
      </c>
      <c r="E257" s="52">
        <f>SUM(E258)</f>
        <v>0</v>
      </c>
      <c r="F257" s="52">
        <f>SUM(F258)</f>
        <v>0</v>
      </c>
      <c r="G257" s="52">
        <f>SUM(G258)</f>
        <v>0</v>
      </c>
      <c r="H257" s="52">
        <f t="shared" ref="H257" si="98">SUM(H258)</f>
        <v>0</v>
      </c>
      <c r="I257" s="591">
        <f t="shared" si="78"/>
        <v>0</v>
      </c>
      <c r="J257" s="591">
        <f t="shared" si="79"/>
        <v>0</v>
      </c>
      <c r="K257" s="58"/>
      <c r="L257" s="58"/>
      <c r="M257" s="58"/>
      <c r="N257" s="58"/>
      <c r="O257" s="58"/>
      <c r="P257" s="58"/>
      <c r="Q257" s="58"/>
    </row>
    <row r="258" spans="1:17" s="62" customFormat="1" hidden="1" x14ac:dyDescent="0.25">
      <c r="A258" s="133"/>
      <c r="B258" s="88" t="s">
        <v>179</v>
      </c>
      <c r="C258" s="57"/>
      <c r="D258" s="135" t="s">
        <v>180</v>
      </c>
      <c r="E258" s="89"/>
      <c r="F258" s="89"/>
      <c r="G258" s="89"/>
      <c r="H258" s="89"/>
      <c r="I258" s="585">
        <f t="shared" si="78"/>
        <v>0</v>
      </c>
      <c r="J258" s="585">
        <f t="shared" si="79"/>
        <v>0</v>
      </c>
      <c r="K258" s="58"/>
      <c r="L258" s="58"/>
      <c r="M258" s="58"/>
      <c r="N258" s="58"/>
      <c r="O258" s="58"/>
      <c r="P258" s="58"/>
      <c r="Q258" s="58"/>
    </row>
    <row r="259" spans="1:17" s="62" customFormat="1" hidden="1" x14ac:dyDescent="0.25">
      <c r="A259" s="133"/>
      <c r="B259" s="99">
        <v>412</v>
      </c>
      <c r="C259" s="92"/>
      <c r="D259" s="54" t="s">
        <v>181</v>
      </c>
      <c r="E259" s="52">
        <f>SUM(E260)</f>
        <v>0</v>
      </c>
      <c r="F259" s="52">
        <f>SUM(F260)</f>
        <v>0</v>
      </c>
      <c r="G259" s="52">
        <f>SUM(G260)</f>
        <v>0</v>
      </c>
      <c r="H259" s="52">
        <f t="shared" ref="H259" si="99">SUM(H260)</f>
        <v>0</v>
      </c>
      <c r="I259" s="591">
        <f t="shared" si="78"/>
        <v>0</v>
      </c>
      <c r="J259" s="591">
        <f t="shared" si="79"/>
        <v>0</v>
      </c>
      <c r="K259" s="58"/>
      <c r="L259" s="58"/>
      <c r="M259" s="58"/>
      <c r="N259" s="58"/>
      <c r="O259" s="58"/>
      <c r="P259" s="58"/>
      <c r="Q259" s="58"/>
    </row>
    <row r="260" spans="1:17" s="62" customFormat="1" hidden="1" x14ac:dyDescent="0.25">
      <c r="A260" s="110"/>
      <c r="B260" s="102">
        <v>4123</v>
      </c>
      <c r="C260" s="94"/>
      <c r="D260" s="55" t="s">
        <v>182</v>
      </c>
      <c r="E260" s="89"/>
      <c r="F260" s="89"/>
      <c r="G260" s="89"/>
      <c r="H260" s="89"/>
      <c r="I260" s="585">
        <f t="shared" si="78"/>
        <v>0</v>
      </c>
      <c r="J260" s="585">
        <f t="shared" si="79"/>
        <v>0</v>
      </c>
      <c r="K260" s="58"/>
      <c r="L260" s="58"/>
      <c r="M260" s="58"/>
      <c r="N260" s="58"/>
      <c r="O260" s="58"/>
      <c r="P260" s="58"/>
      <c r="Q260" s="58"/>
    </row>
    <row r="261" spans="1:17" s="62" customFormat="1" x14ac:dyDescent="0.25">
      <c r="A261" s="57"/>
      <c r="B261" s="83">
        <v>42</v>
      </c>
      <c r="C261" s="84"/>
      <c r="D261" s="85" t="s">
        <v>183</v>
      </c>
      <c r="E261" s="109">
        <f>SUM(E262,E278,E281)</f>
        <v>7392.89</v>
      </c>
      <c r="F261" s="109">
        <f>SUM(F262,F278,F281)</f>
        <v>102328.35</v>
      </c>
      <c r="G261" s="109">
        <f>SUM(G262,G278,G281)</f>
        <v>102328.35</v>
      </c>
      <c r="H261" s="109">
        <f t="shared" ref="H261" si="100">SUM(H262,H278,H281)</f>
        <v>3389.820000000007</v>
      </c>
      <c r="I261" s="594">
        <f t="shared" si="78"/>
        <v>3.3126890055395273</v>
      </c>
      <c r="J261" s="594">
        <f t="shared" si="79"/>
        <v>3.3126890055395273</v>
      </c>
      <c r="K261" s="58"/>
      <c r="L261" s="58"/>
      <c r="M261" s="58"/>
      <c r="N261" s="58"/>
      <c r="O261" s="58"/>
      <c r="P261" s="58"/>
      <c r="Q261" s="58"/>
    </row>
    <row r="262" spans="1:17" s="62" customFormat="1" x14ac:dyDescent="0.25">
      <c r="A262" s="57"/>
      <c r="B262" s="87">
        <v>422</v>
      </c>
      <c r="C262" s="57"/>
      <c r="D262" s="82" t="s">
        <v>184</v>
      </c>
      <c r="E262" s="52">
        <f>E263+E268+E271+E274+E276</f>
        <v>7392.89</v>
      </c>
      <c r="F262" s="52">
        <f>F263+F268+F271+F274+F276</f>
        <v>95606.07</v>
      </c>
      <c r="G262" s="52">
        <f>G263+G268+G271+G274+G276</f>
        <v>95606.07</v>
      </c>
      <c r="H262" s="52">
        <f t="shared" ref="H262" si="101">H263+H268+H271+H274+H276</f>
        <v>3389.820000000007</v>
      </c>
      <c r="I262" s="591">
        <f t="shared" si="78"/>
        <v>3.5456116959937867</v>
      </c>
      <c r="J262" s="591">
        <f t="shared" si="79"/>
        <v>3.5456116959937867</v>
      </c>
      <c r="K262" s="58"/>
      <c r="L262" s="58"/>
      <c r="M262" s="58"/>
      <c r="N262" s="58"/>
      <c r="O262" s="58"/>
      <c r="P262" s="58"/>
      <c r="Q262" s="58"/>
    </row>
    <row r="263" spans="1:17" s="62" customFormat="1" x14ac:dyDescent="0.25">
      <c r="A263" s="57"/>
      <c r="B263" s="87" t="s">
        <v>185</v>
      </c>
      <c r="C263" s="82"/>
      <c r="D263" s="82" t="s">
        <v>186</v>
      </c>
      <c r="E263" s="52">
        <f>SUM(E264:E266)</f>
        <v>0</v>
      </c>
      <c r="F263" s="52">
        <f>SUM(F264:F266)</f>
        <v>13272.28</v>
      </c>
      <c r="G263" s="52">
        <f>SUM(G264:G266)</f>
        <v>13272.28</v>
      </c>
      <c r="H263" s="52">
        <f>SUM(H264:H266)</f>
        <v>399.98</v>
      </c>
      <c r="I263" s="591">
        <f t="shared" si="78"/>
        <v>3.0136495010653781</v>
      </c>
      <c r="J263" s="591">
        <f t="shared" si="79"/>
        <v>3.0136495010653781</v>
      </c>
      <c r="K263" s="58"/>
      <c r="L263" s="58"/>
      <c r="M263" s="58"/>
      <c r="N263" s="58"/>
      <c r="O263" s="58"/>
      <c r="P263" s="58"/>
      <c r="Q263" s="58"/>
    </row>
    <row r="264" spans="1:17" s="62" customFormat="1" x14ac:dyDescent="0.25">
      <c r="A264" s="57"/>
      <c r="B264" s="88">
        <v>42211</v>
      </c>
      <c r="C264" s="82"/>
      <c r="D264" s="57" t="s">
        <v>444</v>
      </c>
      <c r="E264" s="89">
        <f>'Rekapitulacija Posebni dio'!C173</f>
        <v>0</v>
      </c>
      <c r="F264" s="89">
        <f>'Rekapitulacija Posebni dio'!D173</f>
        <v>1250</v>
      </c>
      <c r="G264" s="89">
        <f>'Rekapitulacija Posebni dio'!E173</f>
        <v>1250</v>
      </c>
      <c r="H264" s="89">
        <f>'Rekapitulacija Posebni dio'!F173</f>
        <v>240</v>
      </c>
      <c r="I264" s="585">
        <f t="shared" si="78"/>
        <v>19.2</v>
      </c>
      <c r="J264" s="585">
        <f t="shared" si="79"/>
        <v>19.2</v>
      </c>
      <c r="K264" s="58"/>
      <c r="L264" s="58"/>
      <c r="M264" s="58"/>
      <c r="N264" s="58"/>
      <c r="O264" s="58"/>
      <c r="P264" s="58"/>
      <c r="Q264" s="58"/>
    </row>
    <row r="265" spans="1:17" s="62" customFormat="1" x14ac:dyDescent="0.25">
      <c r="A265" s="57"/>
      <c r="B265" s="88">
        <v>42212</v>
      </c>
      <c r="C265" s="82"/>
      <c r="D265" s="57" t="s">
        <v>445</v>
      </c>
      <c r="E265" s="89">
        <f>'Rekapitulacija Posebni dio'!C174</f>
        <v>0</v>
      </c>
      <c r="F265" s="89">
        <f>'Rekapitulacija Posebni dio'!D174</f>
        <v>10672.28</v>
      </c>
      <c r="G265" s="89">
        <f>'Rekapitulacija Posebni dio'!E174</f>
        <v>10672.28</v>
      </c>
      <c r="H265" s="89">
        <f>'Rekapitulacija Posebni dio'!F174</f>
        <v>159.98000000000002</v>
      </c>
      <c r="I265" s="585">
        <f t="shared" si="78"/>
        <v>1.4990236388100762</v>
      </c>
      <c r="J265" s="585">
        <f t="shared" si="79"/>
        <v>1.4990236388100762</v>
      </c>
      <c r="K265" s="58"/>
      <c r="L265" s="58"/>
      <c r="M265" s="58"/>
      <c r="N265" s="58"/>
      <c r="O265" s="58"/>
      <c r="P265" s="58"/>
      <c r="Q265" s="58"/>
    </row>
    <row r="266" spans="1:17" s="62" customFormat="1" x14ac:dyDescent="0.25">
      <c r="A266" s="57"/>
      <c r="B266" s="88" t="s">
        <v>530</v>
      </c>
      <c r="C266" s="57"/>
      <c r="D266" s="57" t="s">
        <v>446</v>
      </c>
      <c r="E266" s="89">
        <f>'Rekapitulacija Posebni dio'!C175</f>
        <v>0</v>
      </c>
      <c r="F266" s="89">
        <f>'Rekapitulacija Posebni dio'!D175</f>
        <v>1350</v>
      </c>
      <c r="G266" s="89">
        <f>'Rekapitulacija Posebni dio'!E175</f>
        <v>1350</v>
      </c>
      <c r="H266" s="89">
        <f>'Rekapitulacija Posebni dio'!F175</f>
        <v>0</v>
      </c>
      <c r="I266" s="585">
        <f t="shared" ref="I266:I329" si="102">IFERROR(H266/F266*100,H266)</f>
        <v>0</v>
      </c>
      <c r="J266" s="585">
        <f t="shared" ref="J266:J329" si="103">IFERROR(H266/G266*100,H266)</f>
        <v>0</v>
      </c>
      <c r="K266" s="58"/>
      <c r="L266" s="58"/>
      <c r="M266" s="58"/>
      <c r="N266" s="58"/>
      <c r="O266" s="58"/>
      <c r="P266" s="58"/>
      <c r="Q266" s="58"/>
    </row>
    <row r="267" spans="1:17" s="62" customFormat="1" x14ac:dyDescent="0.25">
      <c r="A267" s="57"/>
      <c r="B267" s="87" t="s">
        <v>187</v>
      </c>
      <c r="C267" s="82"/>
      <c r="D267" s="82" t="s">
        <v>188</v>
      </c>
      <c r="E267" s="52"/>
      <c r="F267" s="52"/>
      <c r="G267" s="52"/>
      <c r="H267" s="52"/>
      <c r="I267" s="591">
        <f t="shared" si="102"/>
        <v>0</v>
      </c>
      <c r="J267" s="591">
        <f t="shared" si="103"/>
        <v>0</v>
      </c>
      <c r="K267" s="58"/>
      <c r="L267" s="58"/>
      <c r="M267" s="58"/>
      <c r="N267" s="58"/>
      <c r="O267" s="58"/>
      <c r="P267" s="58"/>
      <c r="Q267" s="58"/>
    </row>
    <row r="268" spans="1:17" s="62" customFormat="1" x14ac:dyDescent="0.25">
      <c r="A268" s="57"/>
      <c r="B268" s="99">
        <v>4223</v>
      </c>
      <c r="C268" s="92"/>
      <c r="D268" s="54" t="s">
        <v>189</v>
      </c>
      <c r="E268" s="52">
        <f>SUM(E269:E270)</f>
        <v>0</v>
      </c>
      <c r="F268" s="52">
        <f>SUM(F269:F270)</f>
        <v>13272.28</v>
      </c>
      <c r="G268" s="52">
        <f>SUM(G269:G270)</f>
        <v>13272.28</v>
      </c>
      <c r="H268" s="52">
        <f t="shared" ref="H268" si="104">SUM(H269:H270)</f>
        <v>0</v>
      </c>
      <c r="I268" s="591">
        <f t="shared" si="102"/>
        <v>0</v>
      </c>
      <c r="J268" s="591">
        <f t="shared" si="103"/>
        <v>0</v>
      </c>
      <c r="K268" s="58"/>
      <c r="L268" s="58"/>
      <c r="M268" s="58"/>
      <c r="N268" s="58"/>
      <c r="O268" s="58"/>
      <c r="P268" s="58"/>
      <c r="Q268" s="58"/>
    </row>
    <row r="269" spans="1:17" s="62" customFormat="1" x14ac:dyDescent="0.25">
      <c r="A269" s="57"/>
      <c r="B269" s="88" t="s">
        <v>508</v>
      </c>
      <c r="C269" s="57"/>
      <c r="D269" s="42" t="s">
        <v>448</v>
      </c>
      <c r="E269" s="89">
        <f>'Rekapitulacija Posebni dio'!C178</f>
        <v>0</v>
      </c>
      <c r="F269" s="89">
        <f>'Rekapitulacija Posebni dio'!D178</f>
        <v>12922.28</v>
      </c>
      <c r="G269" s="89">
        <f>'Rekapitulacija Posebni dio'!E178</f>
        <v>12922.28</v>
      </c>
      <c r="H269" s="89">
        <f>'Rekapitulacija Posebni dio'!F178</f>
        <v>0</v>
      </c>
      <c r="I269" s="585">
        <f t="shared" si="102"/>
        <v>0</v>
      </c>
      <c r="J269" s="585">
        <f t="shared" si="103"/>
        <v>0</v>
      </c>
      <c r="K269" s="58"/>
      <c r="L269" s="58"/>
      <c r="M269" s="58"/>
      <c r="N269" s="58"/>
      <c r="O269" s="58"/>
      <c r="P269" s="58"/>
      <c r="Q269" s="58"/>
    </row>
    <row r="270" spans="1:17" s="62" customFormat="1" x14ac:dyDescent="0.25">
      <c r="A270" s="110"/>
      <c r="B270" s="102">
        <v>42232</v>
      </c>
      <c r="C270" s="94"/>
      <c r="D270" s="53" t="s">
        <v>447</v>
      </c>
      <c r="E270" s="89">
        <f>'Rekapitulacija Posebni dio'!C179</f>
        <v>0</v>
      </c>
      <c r="F270" s="89">
        <f>'Rekapitulacija Posebni dio'!D179</f>
        <v>350</v>
      </c>
      <c r="G270" s="89">
        <f>'Rekapitulacija Posebni dio'!E179</f>
        <v>350</v>
      </c>
      <c r="H270" s="89">
        <f>'Rekapitulacija Posebni dio'!F179</f>
        <v>0</v>
      </c>
      <c r="I270" s="585">
        <f t="shared" si="102"/>
        <v>0</v>
      </c>
      <c r="J270" s="585">
        <f t="shared" si="103"/>
        <v>0</v>
      </c>
      <c r="K270" s="58"/>
      <c r="L270" s="58"/>
      <c r="M270" s="58"/>
      <c r="N270" s="58"/>
      <c r="O270" s="58"/>
      <c r="P270" s="58"/>
      <c r="Q270" s="58"/>
    </row>
    <row r="271" spans="1:17" s="62" customFormat="1" x14ac:dyDescent="0.25">
      <c r="A271" s="110"/>
      <c r="B271" s="99">
        <v>4224</v>
      </c>
      <c r="C271" s="92"/>
      <c r="D271" s="54" t="s">
        <v>190</v>
      </c>
      <c r="E271" s="52">
        <f>SUM(E272:E273)</f>
        <v>0</v>
      </c>
      <c r="F271" s="52">
        <f>SUM(F272:F273)</f>
        <v>59725.26</v>
      </c>
      <c r="G271" s="52">
        <f>SUM(G272:G273)</f>
        <v>59725.26</v>
      </c>
      <c r="H271" s="52">
        <f t="shared" ref="H271" si="105">SUM(H272:H273)</f>
        <v>1404.320000000007</v>
      </c>
      <c r="I271" s="591">
        <f t="shared" si="102"/>
        <v>2.3512999357390942</v>
      </c>
      <c r="J271" s="591">
        <f t="shared" si="103"/>
        <v>2.3512999357390942</v>
      </c>
      <c r="K271" s="58"/>
      <c r="L271" s="58"/>
      <c r="M271" s="58"/>
      <c r="N271" s="58"/>
      <c r="O271" s="58"/>
      <c r="P271" s="58"/>
      <c r="Q271" s="58"/>
    </row>
    <row r="272" spans="1:17" s="62" customFormat="1" x14ac:dyDescent="0.25">
      <c r="A272" s="110"/>
      <c r="B272" s="102">
        <v>42241</v>
      </c>
      <c r="C272" s="94"/>
      <c r="D272" s="55" t="s">
        <v>449</v>
      </c>
      <c r="E272" s="89">
        <f>'Rekapitulacija Posebni dio'!C181</f>
        <v>0</v>
      </c>
      <c r="F272" s="89">
        <f>'Rekapitulacija Posebni dio'!D181</f>
        <v>57475.26</v>
      </c>
      <c r="G272" s="89">
        <f>'Rekapitulacija Posebni dio'!E181</f>
        <v>57475.26</v>
      </c>
      <c r="H272" s="89">
        <f>'Rekapitulacija Posebni dio'!F181</f>
        <v>1404.320000000007</v>
      </c>
      <c r="I272" s="585">
        <f t="shared" si="102"/>
        <v>2.443346928748138</v>
      </c>
      <c r="J272" s="585">
        <f t="shared" si="103"/>
        <v>2.443346928748138</v>
      </c>
      <c r="K272" s="58"/>
      <c r="L272" s="58"/>
      <c r="M272" s="58"/>
      <c r="N272" s="58"/>
      <c r="O272" s="58"/>
      <c r="P272" s="58"/>
      <c r="Q272" s="58"/>
    </row>
    <row r="273" spans="1:17" s="62" customFormat="1" x14ac:dyDescent="0.25">
      <c r="A273" s="110"/>
      <c r="B273" s="102">
        <v>42242</v>
      </c>
      <c r="C273" s="94"/>
      <c r="D273" s="55" t="s">
        <v>450</v>
      </c>
      <c r="E273" s="89">
        <f>'Rekapitulacija Posebni dio'!C182</f>
        <v>0</v>
      </c>
      <c r="F273" s="89">
        <f>'Rekapitulacija Posebni dio'!D182</f>
        <v>2250</v>
      </c>
      <c r="G273" s="89">
        <f>'Rekapitulacija Posebni dio'!E182</f>
        <v>2250</v>
      </c>
      <c r="H273" s="89">
        <f>'Rekapitulacija Posebni dio'!F182</f>
        <v>0</v>
      </c>
      <c r="I273" s="585">
        <f t="shared" si="102"/>
        <v>0</v>
      </c>
      <c r="J273" s="585">
        <f t="shared" si="103"/>
        <v>0</v>
      </c>
      <c r="K273" s="58"/>
      <c r="L273" s="58"/>
      <c r="M273" s="58"/>
      <c r="N273" s="58"/>
      <c r="O273" s="58"/>
      <c r="P273" s="58"/>
      <c r="Q273" s="58"/>
    </row>
    <row r="274" spans="1:17" s="62" customFormat="1" x14ac:dyDescent="0.25">
      <c r="A274" s="110"/>
      <c r="B274" s="99">
        <v>4225</v>
      </c>
      <c r="C274" s="92"/>
      <c r="D274" s="54" t="s">
        <v>191</v>
      </c>
      <c r="E274" s="52">
        <f>SUM(E275)</f>
        <v>0</v>
      </c>
      <c r="F274" s="52">
        <f>SUM(F275)</f>
        <v>5354.57</v>
      </c>
      <c r="G274" s="52">
        <f>SUM(G275)</f>
        <v>5354.57</v>
      </c>
      <c r="H274" s="52">
        <f t="shared" ref="H274" si="106">SUM(H275)</f>
        <v>450</v>
      </c>
      <c r="I274" s="591">
        <f t="shared" si="102"/>
        <v>8.4040361784419666</v>
      </c>
      <c r="J274" s="591">
        <f t="shared" si="103"/>
        <v>8.4040361784419666</v>
      </c>
      <c r="K274" s="58"/>
      <c r="L274" s="58"/>
      <c r="M274" s="58"/>
      <c r="N274" s="58"/>
      <c r="O274" s="58"/>
      <c r="P274" s="58"/>
      <c r="Q274" s="58"/>
    </row>
    <row r="275" spans="1:17" s="62" customFormat="1" x14ac:dyDescent="0.25">
      <c r="A275" s="110"/>
      <c r="B275" s="102">
        <v>42259</v>
      </c>
      <c r="C275" s="94"/>
      <c r="D275" s="55" t="s">
        <v>619</v>
      </c>
      <c r="E275" s="89">
        <f>'Rekapitulacija Posebni dio'!C184</f>
        <v>0</v>
      </c>
      <c r="F275" s="89">
        <f>'Rekapitulacija Posebni dio'!D184</f>
        <v>5354.57</v>
      </c>
      <c r="G275" s="89">
        <f>'Rekapitulacija Posebni dio'!E184</f>
        <v>5354.57</v>
      </c>
      <c r="H275" s="89">
        <f>'Rekapitulacija Posebni dio'!F184</f>
        <v>450</v>
      </c>
      <c r="I275" s="585">
        <f t="shared" si="102"/>
        <v>8.4040361784419666</v>
      </c>
      <c r="J275" s="585">
        <f t="shared" si="103"/>
        <v>8.4040361784419666</v>
      </c>
      <c r="K275" s="58"/>
      <c r="L275" s="58"/>
      <c r="M275" s="58"/>
      <c r="N275" s="58"/>
      <c r="O275" s="58"/>
      <c r="P275" s="58"/>
      <c r="Q275" s="58"/>
    </row>
    <row r="276" spans="1:17" s="62" customFormat="1" x14ac:dyDescent="0.25">
      <c r="A276" s="110"/>
      <c r="B276" s="99">
        <v>4227</v>
      </c>
      <c r="C276" s="92"/>
      <c r="D276" s="54" t="s">
        <v>192</v>
      </c>
      <c r="E276" s="52">
        <f>SUM(E277)</f>
        <v>7392.89</v>
      </c>
      <c r="F276" s="52">
        <f>SUM(F277)</f>
        <v>3981.68</v>
      </c>
      <c r="G276" s="52">
        <f>SUM(G277)</f>
        <v>3981.68</v>
      </c>
      <c r="H276" s="52">
        <f t="shared" ref="H276" si="107">SUM(H277)</f>
        <v>1135.52</v>
      </c>
      <c r="I276" s="591">
        <f t="shared" si="102"/>
        <v>28.518615257881098</v>
      </c>
      <c r="J276" s="591">
        <f t="shared" si="103"/>
        <v>28.518615257881098</v>
      </c>
      <c r="K276" s="58"/>
      <c r="L276" s="58"/>
      <c r="M276" s="58"/>
      <c r="N276" s="58"/>
      <c r="O276" s="58"/>
      <c r="P276" s="58"/>
      <c r="Q276" s="58"/>
    </row>
    <row r="277" spans="1:17" s="62" customFormat="1" x14ac:dyDescent="0.25">
      <c r="A277" s="110"/>
      <c r="B277" s="102">
        <v>42273</v>
      </c>
      <c r="C277" s="94"/>
      <c r="D277" s="55" t="s">
        <v>192</v>
      </c>
      <c r="E277" s="89">
        <f>'Rekapitulacija Posebni dio'!C186</f>
        <v>7392.89</v>
      </c>
      <c r="F277" s="89">
        <f>'Rekapitulacija Posebni dio'!D186</f>
        <v>3981.68</v>
      </c>
      <c r="G277" s="89">
        <f>'Rekapitulacija Posebni dio'!E186</f>
        <v>3981.68</v>
      </c>
      <c r="H277" s="89">
        <f>'Rekapitulacija Posebni dio'!F186</f>
        <v>1135.52</v>
      </c>
      <c r="I277" s="585">
        <f t="shared" si="102"/>
        <v>28.518615257881098</v>
      </c>
      <c r="J277" s="585">
        <f t="shared" si="103"/>
        <v>28.518615257881098</v>
      </c>
      <c r="K277" s="58"/>
      <c r="L277" s="58"/>
      <c r="M277" s="58"/>
      <c r="N277" s="58"/>
      <c r="O277" s="58"/>
      <c r="P277" s="58"/>
      <c r="Q277" s="58"/>
    </row>
    <row r="278" spans="1:17" s="65" customFormat="1" ht="14.25" x14ac:dyDescent="0.25">
      <c r="A278" s="133"/>
      <c r="B278" s="99">
        <v>423</v>
      </c>
      <c r="C278" s="92"/>
      <c r="D278" s="54" t="s">
        <v>193</v>
      </c>
      <c r="E278" s="52">
        <f>E279</f>
        <v>0</v>
      </c>
      <c r="F278" s="52">
        <f>F279</f>
        <v>6722.28</v>
      </c>
      <c r="G278" s="52">
        <f>G279</f>
        <v>6722.28</v>
      </c>
      <c r="H278" s="52">
        <f t="shared" ref="H278" si="108">H279</f>
        <v>0</v>
      </c>
      <c r="I278" s="591">
        <f t="shared" si="102"/>
        <v>0</v>
      </c>
      <c r="J278" s="591">
        <f t="shared" si="103"/>
        <v>0</v>
      </c>
      <c r="K278" s="64"/>
      <c r="L278" s="64"/>
      <c r="M278" s="64"/>
      <c r="N278" s="64"/>
      <c r="O278" s="64"/>
      <c r="P278" s="64"/>
      <c r="Q278" s="64"/>
    </row>
    <row r="279" spans="1:17" s="65" customFormat="1" x14ac:dyDescent="0.25">
      <c r="A279" s="133"/>
      <c r="B279" s="102">
        <v>4231</v>
      </c>
      <c r="C279" s="94"/>
      <c r="D279" s="55" t="s">
        <v>193</v>
      </c>
      <c r="E279" s="52">
        <f>SUM(E280)</f>
        <v>0</v>
      </c>
      <c r="F279" s="52">
        <f>SUM(F280)</f>
        <v>6722.28</v>
      </c>
      <c r="G279" s="52">
        <f>SUM(G280)</f>
        <v>6722.28</v>
      </c>
      <c r="H279" s="52">
        <f t="shared" ref="H279" si="109">SUM(H280)</f>
        <v>0</v>
      </c>
      <c r="I279" s="591">
        <f t="shared" si="102"/>
        <v>0</v>
      </c>
      <c r="J279" s="591">
        <f t="shared" si="103"/>
        <v>0</v>
      </c>
      <c r="K279" s="64"/>
      <c r="L279" s="64"/>
      <c r="M279" s="64"/>
      <c r="N279" s="64"/>
      <c r="O279" s="64"/>
      <c r="P279" s="64"/>
      <c r="Q279" s="64"/>
    </row>
    <row r="280" spans="1:17" s="62" customFormat="1" x14ac:dyDescent="0.25">
      <c r="A280" s="110"/>
      <c r="B280" s="102">
        <v>42311</v>
      </c>
      <c r="C280" s="94"/>
      <c r="D280" s="55" t="s">
        <v>451</v>
      </c>
      <c r="E280" s="89">
        <f>'Rekapitulacija Posebni dio'!C189</f>
        <v>0</v>
      </c>
      <c r="F280" s="89">
        <f>'Rekapitulacija Posebni dio'!D189</f>
        <v>6722.28</v>
      </c>
      <c r="G280" s="89">
        <f>'Rekapitulacija Posebni dio'!E189</f>
        <v>6722.28</v>
      </c>
      <c r="H280" s="89">
        <f>'Rekapitulacija Posebni dio'!F189</f>
        <v>0</v>
      </c>
      <c r="I280" s="585">
        <f t="shared" si="102"/>
        <v>0</v>
      </c>
      <c r="J280" s="585">
        <f t="shared" si="103"/>
        <v>0</v>
      </c>
      <c r="K280" s="58"/>
      <c r="L280" s="58"/>
      <c r="M280" s="58"/>
      <c r="N280" s="58"/>
      <c r="O280" s="58"/>
      <c r="P280" s="58"/>
      <c r="Q280" s="58"/>
    </row>
    <row r="281" spans="1:17" s="65" customFormat="1" ht="14.25" x14ac:dyDescent="0.25">
      <c r="A281" s="133"/>
      <c r="B281" s="99">
        <v>426</v>
      </c>
      <c r="C281" s="92"/>
      <c r="D281" s="54" t="s">
        <v>194</v>
      </c>
      <c r="E281" s="52">
        <f>E282</f>
        <v>0</v>
      </c>
      <c r="F281" s="52">
        <f>F282</f>
        <v>0</v>
      </c>
      <c r="G281" s="52">
        <f>G282</f>
        <v>0</v>
      </c>
      <c r="H281" s="52">
        <f t="shared" ref="H281" si="110">H282</f>
        <v>0</v>
      </c>
      <c r="I281" s="591">
        <f t="shared" si="102"/>
        <v>0</v>
      </c>
      <c r="J281" s="591">
        <f t="shared" si="103"/>
        <v>0</v>
      </c>
      <c r="K281" s="64"/>
      <c r="L281" s="64"/>
      <c r="M281" s="64"/>
      <c r="N281" s="64"/>
      <c r="O281" s="64"/>
      <c r="P281" s="64"/>
      <c r="Q281" s="64"/>
    </row>
    <row r="282" spans="1:17" s="62" customFormat="1" x14ac:dyDescent="0.25">
      <c r="A282" s="110"/>
      <c r="B282" s="102">
        <v>4262</v>
      </c>
      <c r="C282" s="94"/>
      <c r="D282" s="55" t="s">
        <v>195</v>
      </c>
      <c r="E282" s="89"/>
      <c r="F282" s="89"/>
      <c r="G282" s="89"/>
      <c r="H282" s="89"/>
      <c r="I282" s="585">
        <f t="shared" si="102"/>
        <v>0</v>
      </c>
      <c r="J282" s="585">
        <f t="shared" si="103"/>
        <v>0</v>
      </c>
      <c r="K282" s="58"/>
      <c r="L282" s="58"/>
      <c r="M282" s="58"/>
      <c r="N282" s="58"/>
      <c r="O282" s="58"/>
      <c r="P282" s="58"/>
      <c r="Q282" s="58"/>
    </row>
    <row r="283" spans="1:17" s="62" customFormat="1" x14ac:dyDescent="0.25">
      <c r="A283" s="110"/>
      <c r="B283" s="83" t="s">
        <v>196</v>
      </c>
      <c r="C283" s="84"/>
      <c r="D283" s="111" t="s">
        <v>197</v>
      </c>
      <c r="E283" s="109">
        <f>E284+E287</f>
        <v>13603.14</v>
      </c>
      <c r="F283" s="109">
        <f>F284+F287</f>
        <v>23183.82</v>
      </c>
      <c r="G283" s="109">
        <f>G284+G287</f>
        <v>23183.82</v>
      </c>
      <c r="H283" s="109">
        <f t="shared" ref="H283" si="111">H284+H287</f>
        <v>682.58999999999651</v>
      </c>
      <c r="I283" s="594">
        <f t="shared" si="102"/>
        <v>2.9442516375644585</v>
      </c>
      <c r="J283" s="594">
        <f t="shared" si="103"/>
        <v>2.9442516375644585</v>
      </c>
      <c r="K283" s="58"/>
      <c r="L283" s="58"/>
      <c r="M283" s="58"/>
      <c r="N283" s="58"/>
      <c r="O283" s="58"/>
      <c r="P283" s="58"/>
      <c r="Q283" s="58"/>
    </row>
    <row r="284" spans="1:17" s="62" customFormat="1" x14ac:dyDescent="0.25">
      <c r="A284" s="110"/>
      <c r="B284" s="87" t="s">
        <v>198</v>
      </c>
      <c r="C284" s="57"/>
      <c r="D284" s="82" t="s">
        <v>199</v>
      </c>
      <c r="E284" s="52">
        <f t="shared" ref="E284:G285" si="112">SUM(E285)</f>
        <v>13603.14</v>
      </c>
      <c r="F284" s="52">
        <f t="shared" si="112"/>
        <v>23183.82</v>
      </c>
      <c r="G284" s="52">
        <f t="shared" si="112"/>
        <v>23183.82</v>
      </c>
      <c r="H284" s="52">
        <f t="shared" ref="H284:H285" si="113">SUM(H285)</f>
        <v>682.58999999999651</v>
      </c>
      <c r="I284" s="591">
        <f t="shared" si="102"/>
        <v>2.9442516375644585</v>
      </c>
      <c r="J284" s="591">
        <f t="shared" si="103"/>
        <v>2.9442516375644585</v>
      </c>
      <c r="K284" s="58"/>
      <c r="L284" s="58"/>
      <c r="M284" s="58"/>
      <c r="N284" s="58"/>
      <c r="O284" s="58"/>
      <c r="P284" s="58"/>
      <c r="Q284" s="58"/>
    </row>
    <row r="285" spans="1:17" s="62" customFormat="1" x14ac:dyDescent="0.25">
      <c r="A285" s="110"/>
      <c r="B285" s="88" t="s">
        <v>200</v>
      </c>
      <c r="C285" s="57"/>
      <c r="D285" s="57" t="s">
        <v>199</v>
      </c>
      <c r="E285" s="52">
        <f t="shared" si="112"/>
        <v>13603.14</v>
      </c>
      <c r="F285" s="52">
        <f t="shared" si="112"/>
        <v>23183.82</v>
      </c>
      <c r="G285" s="52">
        <f t="shared" si="112"/>
        <v>23183.82</v>
      </c>
      <c r="H285" s="52">
        <f t="shared" si="113"/>
        <v>682.58999999999651</v>
      </c>
      <c r="I285" s="591">
        <f t="shared" si="102"/>
        <v>2.9442516375644585</v>
      </c>
      <c r="J285" s="591">
        <f t="shared" si="103"/>
        <v>2.9442516375644585</v>
      </c>
      <c r="K285" s="58"/>
      <c r="L285" s="58"/>
      <c r="M285" s="58"/>
      <c r="N285" s="58"/>
      <c r="O285" s="58"/>
      <c r="P285" s="58"/>
      <c r="Q285" s="58"/>
    </row>
    <row r="286" spans="1:17" s="62" customFormat="1" x14ac:dyDescent="0.25">
      <c r="A286" s="110"/>
      <c r="B286" s="88" t="s">
        <v>494</v>
      </c>
      <c r="C286" s="57"/>
      <c r="D286" s="57" t="s">
        <v>199</v>
      </c>
      <c r="E286" s="89">
        <f>'Rekapitulacija Posebni dio'!C195</f>
        <v>13603.14</v>
      </c>
      <c r="F286" s="89">
        <f>'Rekapitulacija Posebni dio'!D195</f>
        <v>23183.82</v>
      </c>
      <c r="G286" s="89">
        <f>'Rekapitulacija Posebni dio'!E195</f>
        <v>23183.82</v>
      </c>
      <c r="H286" s="89">
        <f>'Rekapitulacija Posebni dio'!F195</f>
        <v>682.58999999999651</v>
      </c>
      <c r="I286" s="585">
        <f t="shared" si="102"/>
        <v>2.9442516375644585</v>
      </c>
      <c r="J286" s="585">
        <f t="shared" si="103"/>
        <v>2.9442516375644585</v>
      </c>
      <c r="K286" s="58"/>
      <c r="L286" s="58"/>
      <c r="M286" s="58"/>
      <c r="N286" s="58"/>
      <c r="O286" s="58"/>
      <c r="P286" s="58"/>
      <c r="Q286" s="58"/>
    </row>
    <row r="287" spans="1:17" s="62" customFormat="1" x14ac:dyDescent="0.25">
      <c r="A287" s="110"/>
      <c r="B287" s="87" t="s">
        <v>201</v>
      </c>
      <c r="C287" s="82"/>
      <c r="D287" s="82" t="s">
        <v>202</v>
      </c>
      <c r="E287" s="52">
        <f>E288</f>
        <v>0</v>
      </c>
      <c r="F287" s="52">
        <f>F288</f>
        <v>0</v>
      </c>
      <c r="G287" s="52">
        <f>G288</f>
        <v>0</v>
      </c>
      <c r="H287" s="52">
        <f t="shared" ref="H287" si="114">H288</f>
        <v>0</v>
      </c>
      <c r="I287" s="591">
        <f t="shared" si="102"/>
        <v>0</v>
      </c>
      <c r="J287" s="591">
        <f t="shared" si="103"/>
        <v>0</v>
      </c>
      <c r="K287" s="58"/>
      <c r="L287" s="58"/>
      <c r="M287" s="58"/>
      <c r="N287" s="58"/>
      <c r="O287" s="58"/>
      <c r="P287" s="58"/>
      <c r="Q287" s="58"/>
    </row>
    <row r="288" spans="1:17" s="62" customFormat="1" x14ac:dyDescent="0.25">
      <c r="A288" s="110"/>
      <c r="B288" s="88" t="s">
        <v>203</v>
      </c>
      <c r="C288" s="57"/>
      <c r="D288" s="57" t="s">
        <v>204</v>
      </c>
      <c r="E288" s="89"/>
      <c r="F288" s="89"/>
      <c r="G288" s="89"/>
      <c r="H288" s="89"/>
      <c r="I288" s="585">
        <f t="shared" si="102"/>
        <v>0</v>
      </c>
      <c r="J288" s="585">
        <f t="shared" si="103"/>
        <v>0</v>
      </c>
      <c r="K288" s="58"/>
      <c r="L288" s="58"/>
      <c r="M288" s="58"/>
      <c r="N288" s="58"/>
      <c r="O288" s="58"/>
      <c r="P288" s="58"/>
      <c r="Q288" s="58"/>
    </row>
    <row r="289" spans="1:17" s="62" customFormat="1" x14ac:dyDescent="0.25">
      <c r="A289" s="136"/>
      <c r="B289" s="137"/>
      <c r="C289" s="138">
        <v>43</v>
      </c>
      <c r="D289" s="139" t="s">
        <v>56</v>
      </c>
      <c r="E289" s="140">
        <f>E255+E100</f>
        <v>4777402.2705000006</v>
      </c>
      <c r="F289" s="140">
        <f>F255+F100</f>
        <v>4009442.56</v>
      </c>
      <c r="G289" s="140">
        <f>G255+G100</f>
        <v>3705637.47</v>
      </c>
      <c r="H289" s="140">
        <f>H255+H100</f>
        <v>4378780.26</v>
      </c>
      <c r="I289" s="608">
        <f t="shared" si="102"/>
        <v>109.21169699959488</v>
      </c>
      <c r="J289" s="608">
        <f t="shared" si="103"/>
        <v>118.16537088286726</v>
      </c>
      <c r="K289" s="58"/>
      <c r="L289" s="58"/>
      <c r="M289" s="58"/>
      <c r="N289" s="58"/>
      <c r="O289" s="58"/>
      <c r="P289" s="58"/>
      <c r="Q289" s="58"/>
    </row>
    <row r="290" spans="1:17" s="62" customFormat="1" x14ac:dyDescent="0.25">
      <c r="A290" s="79" t="s">
        <v>86</v>
      </c>
      <c r="B290" s="79"/>
      <c r="C290" s="80"/>
      <c r="D290" s="72" t="s">
        <v>87</v>
      </c>
      <c r="E290" s="81">
        <f>E291+E305+E359+E365+E368</f>
        <v>140194.37</v>
      </c>
      <c r="F290" s="81">
        <f>F291+F305+F359+F365+F368</f>
        <v>163116.33000000002</v>
      </c>
      <c r="G290" s="81">
        <f>G291+G305+G359+G365+G368</f>
        <v>163116.33000000002</v>
      </c>
      <c r="H290" s="81">
        <f>H291+H305+H359+H365+H368</f>
        <v>137837.86000000002</v>
      </c>
      <c r="I290" s="606">
        <f t="shared" si="102"/>
        <v>84.502796255899099</v>
      </c>
      <c r="J290" s="606">
        <f t="shared" si="103"/>
        <v>84.502796255899099</v>
      </c>
      <c r="K290" s="58"/>
      <c r="L290" s="58"/>
      <c r="M290" s="58"/>
      <c r="N290" s="58"/>
      <c r="O290" s="58"/>
      <c r="P290" s="58"/>
      <c r="Q290" s="58"/>
    </row>
    <row r="291" spans="1:17" s="62" customFormat="1" x14ac:dyDescent="0.25">
      <c r="A291" s="82"/>
      <c r="B291" s="83">
        <v>31</v>
      </c>
      <c r="C291" s="84"/>
      <c r="D291" s="85" t="s">
        <v>88</v>
      </c>
      <c r="E291" s="86">
        <f>E292+E299+E302</f>
        <v>62630.28</v>
      </c>
      <c r="F291" s="86">
        <f>F292+F299+F302</f>
        <v>67928.2</v>
      </c>
      <c r="G291" s="86">
        <f>G292+G299+G302</f>
        <v>67928.2</v>
      </c>
      <c r="H291" s="86">
        <f t="shared" ref="H291" si="115">H292+H299+H302</f>
        <v>66793.440000000002</v>
      </c>
      <c r="I291" s="587">
        <f t="shared" si="102"/>
        <v>98.329471412461984</v>
      </c>
      <c r="J291" s="587">
        <f t="shared" si="103"/>
        <v>98.329471412461984</v>
      </c>
      <c r="K291" s="58"/>
      <c r="L291" s="58"/>
      <c r="M291" s="58"/>
      <c r="N291" s="58"/>
      <c r="O291" s="58"/>
      <c r="P291" s="58"/>
      <c r="Q291" s="58"/>
    </row>
    <row r="292" spans="1:17" s="62" customFormat="1" x14ac:dyDescent="0.25">
      <c r="A292" s="82"/>
      <c r="B292" s="87">
        <v>311</v>
      </c>
      <c r="C292" s="57"/>
      <c r="D292" s="82" t="s">
        <v>89</v>
      </c>
      <c r="E292" s="52">
        <f>E293+E297</f>
        <v>52423.519999999997</v>
      </c>
      <c r="F292" s="52">
        <f>F293+F297</f>
        <v>56139.76</v>
      </c>
      <c r="G292" s="52">
        <f>G293+G297</f>
        <v>56139.76</v>
      </c>
      <c r="H292" s="52">
        <f t="shared" ref="H292" si="116">H293+H297</f>
        <v>56139.76</v>
      </c>
      <c r="I292" s="591">
        <f t="shared" si="102"/>
        <v>100</v>
      </c>
      <c r="J292" s="591">
        <f t="shared" si="103"/>
        <v>100</v>
      </c>
      <c r="K292" s="58"/>
      <c r="L292" s="58"/>
      <c r="M292" s="58"/>
      <c r="N292" s="58"/>
      <c r="O292" s="58"/>
      <c r="P292" s="58"/>
      <c r="Q292" s="58"/>
    </row>
    <row r="293" spans="1:17" s="62" customFormat="1" x14ac:dyDescent="0.25">
      <c r="A293" s="82"/>
      <c r="B293" s="87">
        <v>3111</v>
      </c>
      <c r="C293" s="82"/>
      <c r="D293" s="82" t="s">
        <v>90</v>
      </c>
      <c r="E293" s="52">
        <f>SUM(E294)</f>
        <v>52423.519999999997</v>
      </c>
      <c r="F293" s="52">
        <f>SUM(F294)</f>
        <v>56139.76</v>
      </c>
      <c r="G293" s="52">
        <f>SUM(G294)</f>
        <v>56139.76</v>
      </c>
      <c r="H293" s="52">
        <f t="shared" ref="H293" si="117">SUM(H294)</f>
        <v>56139.76</v>
      </c>
      <c r="I293" s="591">
        <f t="shared" si="102"/>
        <v>100</v>
      </c>
      <c r="J293" s="591">
        <f t="shared" si="103"/>
        <v>100</v>
      </c>
      <c r="K293" s="58"/>
      <c r="L293" s="58"/>
      <c r="M293" s="58"/>
      <c r="N293" s="58"/>
      <c r="O293" s="58"/>
      <c r="P293" s="58"/>
      <c r="Q293" s="58"/>
    </row>
    <row r="294" spans="1:17" s="62" customFormat="1" x14ac:dyDescent="0.25">
      <c r="A294" s="57"/>
      <c r="B294" s="88" t="s">
        <v>465</v>
      </c>
      <c r="C294" s="57"/>
      <c r="D294" s="57" t="s">
        <v>90</v>
      </c>
      <c r="E294" s="89">
        <f>'Rekapitulacija Posebni dio'!C203</f>
        <v>52423.519999999997</v>
      </c>
      <c r="F294" s="89">
        <f>'Rekapitulacija Posebni dio'!D203</f>
        <v>56139.76</v>
      </c>
      <c r="G294" s="89">
        <f>'Rekapitulacija Posebni dio'!E203</f>
        <v>56139.76</v>
      </c>
      <c r="H294" s="89">
        <f>'Rekapitulacija Posebni dio'!F203</f>
        <v>56139.76</v>
      </c>
      <c r="I294" s="585">
        <f t="shared" si="102"/>
        <v>100</v>
      </c>
      <c r="J294" s="585">
        <f t="shared" si="103"/>
        <v>100</v>
      </c>
      <c r="K294" s="58"/>
      <c r="L294" s="58"/>
      <c r="M294" s="58"/>
      <c r="N294" s="58"/>
      <c r="O294" s="58"/>
      <c r="P294" s="58"/>
      <c r="Q294" s="58"/>
    </row>
    <row r="295" spans="1:17" s="65" customFormat="1" x14ac:dyDescent="0.25">
      <c r="A295" s="57"/>
      <c r="B295" s="87" t="s">
        <v>91</v>
      </c>
      <c r="C295" s="82"/>
      <c r="D295" s="82" t="s">
        <v>92</v>
      </c>
      <c r="E295" s="52"/>
      <c r="F295" s="52"/>
      <c r="G295" s="52"/>
      <c r="H295" s="52"/>
      <c r="I295" s="591">
        <f t="shared" si="102"/>
        <v>0</v>
      </c>
      <c r="J295" s="591">
        <f t="shared" si="103"/>
        <v>0</v>
      </c>
      <c r="K295" s="64"/>
      <c r="L295" s="64"/>
      <c r="M295" s="64"/>
      <c r="N295" s="64"/>
      <c r="O295" s="64"/>
      <c r="P295" s="64"/>
      <c r="Q295" s="64"/>
    </row>
    <row r="296" spans="1:17" s="65" customFormat="1" x14ac:dyDescent="0.25">
      <c r="A296" s="57"/>
      <c r="B296" s="87" t="s">
        <v>93</v>
      </c>
      <c r="C296" s="82"/>
      <c r="D296" s="82" t="s">
        <v>94</v>
      </c>
      <c r="E296" s="52"/>
      <c r="F296" s="52"/>
      <c r="G296" s="52"/>
      <c r="H296" s="52"/>
      <c r="I296" s="591">
        <f t="shared" si="102"/>
        <v>0</v>
      </c>
      <c r="J296" s="591">
        <f t="shared" si="103"/>
        <v>0</v>
      </c>
      <c r="K296" s="64"/>
      <c r="L296" s="64"/>
      <c r="M296" s="64"/>
      <c r="N296" s="64"/>
      <c r="O296" s="64"/>
      <c r="P296" s="64"/>
      <c r="Q296" s="64"/>
    </row>
    <row r="297" spans="1:17" s="65" customFormat="1" x14ac:dyDescent="0.25">
      <c r="A297" s="57"/>
      <c r="B297" s="87" t="s">
        <v>95</v>
      </c>
      <c r="C297" s="82"/>
      <c r="D297" s="82" t="s">
        <v>96</v>
      </c>
      <c r="E297" s="52">
        <f>SUM(E298)</f>
        <v>0</v>
      </c>
      <c r="F297" s="52">
        <f>SUM(F298)</f>
        <v>0</v>
      </c>
      <c r="G297" s="52">
        <f>SUM(G298)</f>
        <v>0</v>
      </c>
      <c r="H297" s="52">
        <f>SUM(H298)</f>
        <v>0</v>
      </c>
      <c r="I297" s="591">
        <f t="shared" si="102"/>
        <v>0</v>
      </c>
      <c r="J297" s="591">
        <f t="shared" si="103"/>
        <v>0</v>
      </c>
      <c r="K297" s="64"/>
      <c r="L297" s="64"/>
      <c r="M297" s="64"/>
      <c r="N297" s="64"/>
      <c r="O297" s="64"/>
      <c r="P297" s="64"/>
      <c r="Q297" s="64"/>
    </row>
    <row r="298" spans="1:17" s="62" customFormat="1" ht="15.75" customHeight="1" x14ac:dyDescent="0.25">
      <c r="A298" s="57"/>
      <c r="B298" s="88" t="s">
        <v>468</v>
      </c>
      <c r="C298" s="57"/>
      <c r="D298" s="57" t="s">
        <v>96</v>
      </c>
      <c r="E298" s="89">
        <f>'Rekapitulacija Posebni dio'!C207</f>
        <v>0</v>
      </c>
      <c r="F298" s="89">
        <f>'Rekapitulacija Posebni dio'!D207</f>
        <v>0</v>
      </c>
      <c r="G298" s="89">
        <f>'Rekapitulacija Posebni dio'!E207</f>
        <v>0</v>
      </c>
      <c r="H298" s="89">
        <f>'Rekapitulacija Posebni dio'!F207</f>
        <v>0</v>
      </c>
      <c r="I298" s="585">
        <f t="shared" si="102"/>
        <v>0</v>
      </c>
      <c r="J298" s="585">
        <f t="shared" si="103"/>
        <v>0</v>
      </c>
      <c r="K298" s="58"/>
      <c r="L298" s="58"/>
      <c r="M298" s="58"/>
      <c r="N298" s="58"/>
      <c r="O298" s="58"/>
      <c r="P298" s="58"/>
      <c r="Q298" s="58"/>
    </row>
    <row r="299" spans="1:17" s="62" customFormat="1" ht="15.75" customHeight="1" x14ac:dyDescent="0.25">
      <c r="A299" s="82"/>
      <c r="B299" s="87" t="s">
        <v>97</v>
      </c>
      <c r="C299" s="82"/>
      <c r="D299" s="82" t="s">
        <v>98</v>
      </c>
      <c r="E299" s="52">
        <f t="shared" ref="E299:G300" si="118">SUM(E300)</f>
        <v>2400</v>
      </c>
      <c r="F299" s="52">
        <f t="shared" si="118"/>
        <v>3981.68</v>
      </c>
      <c r="G299" s="52">
        <f t="shared" si="118"/>
        <v>3981.68</v>
      </c>
      <c r="H299" s="52">
        <f t="shared" ref="H299" si="119">SUM(H301)</f>
        <v>3000</v>
      </c>
      <c r="I299" s="591">
        <f t="shared" si="102"/>
        <v>75.345080468545945</v>
      </c>
      <c r="J299" s="591">
        <f t="shared" si="103"/>
        <v>75.345080468545945</v>
      </c>
      <c r="K299" s="58"/>
      <c r="L299" s="58"/>
      <c r="M299" s="58"/>
      <c r="N299" s="58"/>
      <c r="O299" s="58"/>
      <c r="P299" s="58"/>
      <c r="Q299" s="58"/>
    </row>
    <row r="300" spans="1:17" s="62" customFormat="1" ht="15.75" customHeight="1" x14ac:dyDescent="0.25">
      <c r="A300" s="82"/>
      <c r="B300" s="87" t="s">
        <v>99</v>
      </c>
      <c r="C300" s="82"/>
      <c r="D300" s="82" t="s">
        <v>98</v>
      </c>
      <c r="E300" s="52">
        <f t="shared" si="118"/>
        <v>2400</v>
      </c>
      <c r="F300" s="52">
        <f t="shared" si="118"/>
        <v>3981.68</v>
      </c>
      <c r="G300" s="52">
        <f t="shared" si="118"/>
        <v>3981.68</v>
      </c>
      <c r="H300" s="52">
        <f t="shared" ref="H300" si="120">SUM(H301)</f>
        <v>3000</v>
      </c>
      <c r="I300" s="591">
        <f t="shared" si="102"/>
        <v>75.345080468545945</v>
      </c>
      <c r="J300" s="591">
        <f t="shared" si="103"/>
        <v>75.345080468545945</v>
      </c>
      <c r="K300" s="58"/>
      <c r="L300" s="58"/>
      <c r="M300" s="58"/>
      <c r="N300" s="58"/>
      <c r="O300" s="58"/>
      <c r="P300" s="58"/>
      <c r="Q300" s="58"/>
    </row>
    <row r="301" spans="1:17" s="62" customFormat="1" ht="15.75" customHeight="1" x14ac:dyDescent="0.25">
      <c r="A301" s="57"/>
      <c r="B301" s="88" t="s">
        <v>474</v>
      </c>
      <c r="C301" s="57"/>
      <c r="D301" s="57" t="s">
        <v>381</v>
      </c>
      <c r="E301" s="89">
        <f>'Rekapitulacija Posebni dio'!C210</f>
        <v>2400</v>
      </c>
      <c r="F301" s="89">
        <f>'Rekapitulacija Posebni dio'!D210</f>
        <v>3981.68</v>
      </c>
      <c r="G301" s="89">
        <f>'Rekapitulacija Posebni dio'!E210</f>
        <v>3981.68</v>
      </c>
      <c r="H301" s="89">
        <f>'Rekapitulacija Posebni dio'!F210</f>
        <v>3000</v>
      </c>
      <c r="I301" s="585">
        <f t="shared" si="102"/>
        <v>75.345080468545945</v>
      </c>
      <c r="J301" s="585">
        <f t="shared" si="103"/>
        <v>75.345080468545945</v>
      </c>
      <c r="K301" s="58"/>
      <c r="L301" s="58"/>
      <c r="M301" s="58"/>
      <c r="N301" s="58"/>
      <c r="O301" s="58"/>
      <c r="P301" s="58"/>
      <c r="Q301" s="58"/>
    </row>
    <row r="302" spans="1:17" s="65" customFormat="1" ht="15.75" customHeight="1" x14ac:dyDescent="0.25">
      <c r="A302" s="82"/>
      <c r="B302" s="92">
        <v>313</v>
      </c>
      <c r="C302" s="82"/>
      <c r="D302" s="82" t="s">
        <v>100</v>
      </c>
      <c r="E302" s="93">
        <f t="shared" ref="E302:G303" si="121">SUM(E303)</f>
        <v>7806.76</v>
      </c>
      <c r="F302" s="93">
        <f t="shared" si="121"/>
        <v>7806.76</v>
      </c>
      <c r="G302" s="93">
        <f t="shared" si="121"/>
        <v>7806.76</v>
      </c>
      <c r="H302" s="93">
        <f t="shared" ref="H302:H303" si="122">SUM(H303)</f>
        <v>7653.68</v>
      </c>
      <c r="I302" s="607">
        <f t="shared" si="102"/>
        <v>98.039135313497539</v>
      </c>
      <c r="J302" s="607">
        <f t="shared" si="103"/>
        <v>98.039135313497539</v>
      </c>
      <c r="K302" s="64"/>
      <c r="L302" s="64"/>
      <c r="M302" s="64"/>
      <c r="N302" s="64"/>
      <c r="O302" s="64"/>
      <c r="P302" s="64"/>
      <c r="Q302" s="64"/>
    </row>
    <row r="303" spans="1:17" s="65" customFormat="1" ht="15.75" customHeight="1" x14ac:dyDescent="0.25">
      <c r="A303" s="82"/>
      <c r="B303" s="92">
        <v>3132</v>
      </c>
      <c r="C303" s="82"/>
      <c r="D303" s="82" t="s">
        <v>101</v>
      </c>
      <c r="E303" s="93">
        <f t="shared" si="121"/>
        <v>7806.76</v>
      </c>
      <c r="F303" s="93">
        <f t="shared" si="121"/>
        <v>7806.76</v>
      </c>
      <c r="G303" s="93">
        <f t="shared" si="121"/>
        <v>7806.76</v>
      </c>
      <c r="H303" s="93">
        <f t="shared" si="122"/>
        <v>7653.68</v>
      </c>
      <c r="I303" s="607">
        <f t="shared" si="102"/>
        <v>98.039135313497539</v>
      </c>
      <c r="J303" s="607">
        <f t="shared" si="103"/>
        <v>98.039135313497539</v>
      </c>
      <c r="K303" s="64"/>
      <c r="L303" s="64"/>
      <c r="M303" s="64"/>
      <c r="N303" s="64"/>
      <c r="O303" s="64"/>
      <c r="P303" s="64"/>
      <c r="Q303" s="64"/>
    </row>
    <row r="304" spans="1:17" s="65" customFormat="1" ht="15.75" customHeight="1" x14ac:dyDescent="0.25">
      <c r="A304" s="57"/>
      <c r="B304" s="94" t="s">
        <v>475</v>
      </c>
      <c r="C304" s="57"/>
      <c r="D304" s="57" t="s">
        <v>101</v>
      </c>
      <c r="E304" s="141">
        <f>'Rekapitulacija Posebni dio'!C213</f>
        <v>7806.76</v>
      </c>
      <c r="F304" s="141">
        <f>'Rekapitulacija Posebni dio'!D213</f>
        <v>7806.76</v>
      </c>
      <c r="G304" s="141">
        <f>'Rekapitulacija Posebni dio'!E213</f>
        <v>7806.76</v>
      </c>
      <c r="H304" s="141">
        <f>'Rekapitulacija Posebni dio'!F213</f>
        <v>7653.68</v>
      </c>
      <c r="I304" s="609">
        <f t="shared" si="102"/>
        <v>98.039135313497539</v>
      </c>
      <c r="J304" s="609">
        <f t="shared" si="103"/>
        <v>98.039135313497539</v>
      </c>
      <c r="K304" s="64"/>
      <c r="L304" s="64"/>
      <c r="M304" s="64"/>
      <c r="N304" s="64"/>
      <c r="O304" s="64"/>
      <c r="P304" s="64"/>
      <c r="Q304" s="64"/>
    </row>
    <row r="305" spans="1:17" s="65" customFormat="1" ht="14.25" x14ac:dyDescent="0.25">
      <c r="A305" s="82"/>
      <c r="B305" s="83">
        <v>32</v>
      </c>
      <c r="C305" s="84"/>
      <c r="D305" s="85" t="s">
        <v>102</v>
      </c>
      <c r="E305" s="86">
        <f>E306+E314+E329+E345+E349</f>
        <v>77564.090000000011</v>
      </c>
      <c r="F305" s="86">
        <f>F306+F314+F329+F345+F349</f>
        <v>95188.13</v>
      </c>
      <c r="G305" s="86">
        <f t="shared" ref="G305:H305" si="123">G306+G314+G329+G345+G349</f>
        <v>95188.130000000019</v>
      </c>
      <c r="H305" s="86">
        <f t="shared" si="123"/>
        <v>71044.420000000013</v>
      </c>
      <c r="I305" s="587">
        <f t="shared" si="102"/>
        <v>74.635797551648523</v>
      </c>
      <c r="J305" s="587">
        <f t="shared" si="103"/>
        <v>74.635797551648508</v>
      </c>
      <c r="K305" s="64"/>
      <c r="L305" s="64"/>
      <c r="M305" s="64"/>
      <c r="N305" s="64"/>
      <c r="O305" s="64"/>
      <c r="P305" s="64"/>
      <c r="Q305" s="64"/>
    </row>
    <row r="306" spans="1:17" s="65" customFormat="1" ht="15.75" customHeight="1" x14ac:dyDescent="0.25">
      <c r="A306" s="82"/>
      <c r="B306" s="87">
        <v>321</v>
      </c>
      <c r="C306" s="82"/>
      <c r="D306" s="82" t="s">
        <v>103</v>
      </c>
      <c r="E306" s="52">
        <f>E307+E309+E311+E313</f>
        <v>12311.04</v>
      </c>
      <c r="F306" s="52">
        <f>F307+F309+F311+F313</f>
        <v>14599.500000000002</v>
      </c>
      <c r="G306" s="52">
        <f>G307+G309+G311+G313</f>
        <v>14599.500000000002</v>
      </c>
      <c r="H306" s="52">
        <f t="shared" ref="H306" si="124">H307+H309+H311+H313</f>
        <v>14267.7</v>
      </c>
      <c r="I306" s="591">
        <f t="shared" si="102"/>
        <v>97.727319428747549</v>
      </c>
      <c r="J306" s="591">
        <f t="shared" si="103"/>
        <v>97.727319428747549</v>
      </c>
      <c r="K306" s="64"/>
      <c r="L306" s="64"/>
      <c r="M306" s="64"/>
      <c r="N306" s="64"/>
      <c r="O306" s="64"/>
      <c r="P306" s="64"/>
      <c r="Q306" s="64"/>
    </row>
    <row r="307" spans="1:17" s="65" customFormat="1" ht="15.75" customHeight="1" x14ac:dyDescent="0.25">
      <c r="A307" s="82"/>
      <c r="B307" s="87" t="s">
        <v>104</v>
      </c>
      <c r="C307" s="82"/>
      <c r="D307" s="82" t="s">
        <v>105</v>
      </c>
      <c r="E307" s="52">
        <f>SUM(E308)</f>
        <v>463.61</v>
      </c>
      <c r="F307" s="52">
        <f>SUM(F308)</f>
        <v>663.61</v>
      </c>
      <c r="G307" s="52">
        <f>SUM(G308)</f>
        <v>663.61</v>
      </c>
      <c r="H307" s="52">
        <f t="shared" ref="H307" si="125">SUM(H308)</f>
        <v>331.81</v>
      </c>
      <c r="I307" s="591">
        <f t="shared" si="102"/>
        <v>50.000753454589287</v>
      </c>
      <c r="J307" s="591">
        <f t="shared" si="103"/>
        <v>50.000753454589287</v>
      </c>
      <c r="K307" s="64"/>
      <c r="L307" s="64"/>
      <c r="M307" s="64"/>
      <c r="N307" s="64"/>
      <c r="O307" s="64"/>
      <c r="P307" s="64"/>
      <c r="Q307" s="64"/>
    </row>
    <row r="308" spans="1:17" s="65" customFormat="1" ht="15.75" customHeight="1" x14ac:dyDescent="0.25">
      <c r="A308" s="57"/>
      <c r="B308" s="88" t="s">
        <v>495</v>
      </c>
      <c r="C308" s="57"/>
      <c r="D308" s="57" t="s">
        <v>390</v>
      </c>
      <c r="E308" s="89">
        <f>'Rekapitulacija Posebni dio'!C217</f>
        <v>463.61</v>
      </c>
      <c r="F308" s="89">
        <f>'Rekapitulacija Posebni dio'!D217</f>
        <v>663.61</v>
      </c>
      <c r="G308" s="89">
        <f>'Rekapitulacija Posebni dio'!E217</f>
        <v>663.61</v>
      </c>
      <c r="H308" s="89">
        <f>'Rekapitulacija Posebni dio'!F217</f>
        <v>331.81</v>
      </c>
      <c r="I308" s="585">
        <f t="shared" si="102"/>
        <v>50.000753454589287</v>
      </c>
      <c r="J308" s="585">
        <f t="shared" si="103"/>
        <v>50.000753454589287</v>
      </c>
      <c r="K308" s="64"/>
      <c r="L308" s="64"/>
      <c r="M308" s="64"/>
      <c r="N308" s="64"/>
      <c r="O308" s="64"/>
      <c r="P308" s="64"/>
      <c r="Q308" s="64"/>
    </row>
    <row r="309" spans="1:17" s="65" customFormat="1" ht="15.75" customHeight="1" x14ac:dyDescent="0.25">
      <c r="A309" s="57"/>
      <c r="B309" s="87" t="s">
        <v>106</v>
      </c>
      <c r="C309" s="82"/>
      <c r="D309" s="97" t="s">
        <v>107</v>
      </c>
      <c r="E309" s="52">
        <f>SUM(E310)</f>
        <v>11383.82</v>
      </c>
      <c r="F309" s="52">
        <f>SUM(F310)</f>
        <v>13272.28</v>
      </c>
      <c r="G309" s="52">
        <f>SUM(G310)</f>
        <v>13272.28</v>
      </c>
      <c r="H309" s="52">
        <f t="shared" ref="H309" si="126">SUM(H310)</f>
        <v>13272.28</v>
      </c>
      <c r="I309" s="591">
        <f t="shared" si="102"/>
        <v>100</v>
      </c>
      <c r="J309" s="591">
        <f t="shared" si="103"/>
        <v>100</v>
      </c>
      <c r="K309" s="64"/>
      <c r="L309" s="64"/>
      <c r="M309" s="64"/>
      <c r="N309" s="64"/>
      <c r="O309" s="64"/>
      <c r="P309" s="64"/>
      <c r="Q309" s="64"/>
    </row>
    <row r="310" spans="1:17" s="65" customFormat="1" ht="15.75" customHeight="1" x14ac:dyDescent="0.25">
      <c r="A310" s="57"/>
      <c r="B310" s="88" t="s">
        <v>476</v>
      </c>
      <c r="C310" s="57"/>
      <c r="D310" s="98" t="s">
        <v>283</v>
      </c>
      <c r="E310" s="89">
        <f>'Rekapitulacija Posebni dio'!C219</f>
        <v>11383.82</v>
      </c>
      <c r="F310" s="89">
        <f>'Rekapitulacija Posebni dio'!D219</f>
        <v>13272.28</v>
      </c>
      <c r="G310" s="89">
        <f>'Rekapitulacija Posebni dio'!E219</f>
        <v>13272.28</v>
      </c>
      <c r="H310" s="89">
        <f>'Rekapitulacija Posebni dio'!F219</f>
        <v>13272.28</v>
      </c>
      <c r="I310" s="585">
        <f t="shared" si="102"/>
        <v>100</v>
      </c>
      <c r="J310" s="585">
        <f t="shared" si="103"/>
        <v>100</v>
      </c>
      <c r="K310" s="64"/>
      <c r="L310" s="64"/>
      <c r="M310" s="64"/>
      <c r="N310" s="64"/>
      <c r="O310" s="64"/>
      <c r="P310" s="64"/>
      <c r="Q310" s="64"/>
    </row>
    <row r="311" spans="1:17" s="65" customFormat="1" ht="15.75" customHeight="1" x14ac:dyDescent="0.25">
      <c r="A311" s="57"/>
      <c r="B311" s="87" t="s">
        <v>108</v>
      </c>
      <c r="C311" s="82"/>
      <c r="D311" s="97" t="s">
        <v>109</v>
      </c>
      <c r="E311" s="52">
        <f>SUM(E312)</f>
        <v>463.61</v>
      </c>
      <c r="F311" s="52">
        <f>SUM(F312)</f>
        <v>663.61</v>
      </c>
      <c r="G311" s="52">
        <f>SUM(G312)</f>
        <v>663.61</v>
      </c>
      <c r="H311" s="52">
        <f t="shared" ref="H311" si="127">SUM(H312)</f>
        <v>663.61</v>
      </c>
      <c r="I311" s="591">
        <f t="shared" si="102"/>
        <v>100</v>
      </c>
      <c r="J311" s="591">
        <f t="shared" si="103"/>
        <v>100</v>
      </c>
      <c r="K311" s="64"/>
      <c r="L311" s="64"/>
      <c r="M311" s="64"/>
      <c r="N311" s="64"/>
      <c r="O311" s="64"/>
      <c r="P311" s="64"/>
      <c r="Q311" s="64"/>
    </row>
    <row r="312" spans="1:17" s="65" customFormat="1" ht="15.75" customHeight="1" x14ac:dyDescent="0.25">
      <c r="A312" s="57"/>
      <c r="B312" s="88" t="s">
        <v>496</v>
      </c>
      <c r="C312" s="57"/>
      <c r="D312" s="98" t="s">
        <v>392</v>
      </c>
      <c r="E312" s="89">
        <f>'Rekapitulacija Posebni dio'!C221</f>
        <v>463.61</v>
      </c>
      <c r="F312" s="89">
        <f>'Rekapitulacija Posebni dio'!D221</f>
        <v>663.61</v>
      </c>
      <c r="G312" s="89">
        <f>'Rekapitulacija Posebni dio'!E221</f>
        <v>663.61</v>
      </c>
      <c r="H312" s="89">
        <f>'Rekapitulacija Posebni dio'!F221</f>
        <v>663.61</v>
      </c>
      <c r="I312" s="585">
        <f t="shared" si="102"/>
        <v>100</v>
      </c>
      <c r="J312" s="585">
        <f t="shared" si="103"/>
        <v>100</v>
      </c>
      <c r="K312" s="64"/>
      <c r="L312" s="64"/>
      <c r="M312" s="64"/>
      <c r="N312" s="64"/>
      <c r="O312" s="64"/>
      <c r="P312" s="64"/>
      <c r="Q312" s="64"/>
    </row>
    <row r="313" spans="1:17" s="65" customFormat="1" ht="15.75" customHeight="1" x14ac:dyDescent="0.25">
      <c r="A313" s="57"/>
      <c r="B313" s="87" t="s">
        <v>110</v>
      </c>
      <c r="C313" s="82"/>
      <c r="D313" s="97" t="s">
        <v>111</v>
      </c>
      <c r="E313" s="52"/>
      <c r="F313" s="52"/>
      <c r="G313" s="52"/>
      <c r="H313" s="52"/>
      <c r="I313" s="591">
        <f t="shared" si="102"/>
        <v>0</v>
      </c>
      <c r="J313" s="591">
        <f t="shared" si="103"/>
        <v>0</v>
      </c>
      <c r="K313" s="64"/>
      <c r="L313" s="64"/>
      <c r="M313" s="64"/>
      <c r="N313" s="64"/>
      <c r="O313" s="64"/>
      <c r="P313" s="64"/>
      <c r="Q313" s="64"/>
    </row>
    <row r="314" spans="1:17" s="65" customFormat="1" ht="15.75" customHeight="1" x14ac:dyDescent="0.25">
      <c r="A314" s="82"/>
      <c r="B314" s="87" t="s">
        <v>112</v>
      </c>
      <c r="C314" s="82"/>
      <c r="D314" s="97" t="s">
        <v>113</v>
      </c>
      <c r="E314" s="52">
        <f>E315+E317+E320+E323+E325+E327</f>
        <v>49398.76</v>
      </c>
      <c r="F314" s="52">
        <f>F315+F317+F320+F323+F325+F327</f>
        <v>49398.76</v>
      </c>
      <c r="G314" s="52">
        <f>G315+G317+G320+G323+G325+G327</f>
        <v>19444.55</v>
      </c>
      <c r="H314" s="52">
        <f t="shared" ref="H314" si="128">H315+H317+H320+H323+H325+H327</f>
        <v>19294.55</v>
      </c>
      <c r="I314" s="591">
        <f t="shared" si="102"/>
        <v>39.05877394493303</v>
      </c>
      <c r="J314" s="591">
        <f t="shared" si="103"/>
        <v>99.2285756163038</v>
      </c>
      <c r="K314" s="64"/>
      <c r="L314" s="64"/>
      <c r="M314" s="64"/>
      <c r="N314" s="64"/>
      <c r="O314" s="64"/>
      <c r="P314" s="64"/>
      <c r="Q314" s="64"/>
    </row>
    <row r="315" spans="1:17" s="65" customFormat="1" ht="15.75" customHeight="1" x14ac:dyDescent="0.25">
      <c r="A315" s="82"/>
      <c r="B315" s="87" t="s">
        <v>114</v>
      </c>
      <c r="C315" s="82"/>
      <c r="D315" s="82" t="s">
        <v>115</v>
      </c>
      <c r="E315" s="52">
        <f>SUM(E316)</f>
        <v>639.19000000000005</v>
      </c>
      <c r="F315" s="52">
        <f>SUM(F316)</f>
        <v>639.19000000000005</v>
      </c>
      <c r="G315" s="52">
        <f>SUM(G316)</f>
        <v>639.19000000000005</v>
      </c>
      <c r="H315" s="52">
        <f t="shared" ref="H315" si="129">SUM(H316)</f>
        <v>639.19000000000005</v>
      </c>
      <c r="I315" s="591">
        <f t="shared" si="102"/>
        <v>100</v>
      </c>
      <c r="J315" s="591">
        <f t="shared" si="103"/>
        <v>100</v>
      </c>
      <c r="K315" s="64"/>
      <c r="L315" s="64"/>
      <c r="M315" s="64"/>
      <c r="N315" s="64"/>
      <c r="O315" s="64"/>
      <c r="P315" s="64"/>
      <c r="Q315" s="64"/>
    </row>
    <row r="316" spans="1:17" s="65" customFormat="1" ht="15.75" customHeight="1" x14ac:dyDescent="0.25">
      <c r="A316" s="82"/>
      <c r="B316" s="88" t="s">
        <v>497</v>
      </c>
      <c r="C316" s="82"/>
      <c r="D316" s="57" t="s">
        <v>394</v>
      </c>
      <c r="E316" s="89">
        <f>'Rekapitulacija Posebni dio'!C225+'Rekapitulacija Posebni dio'!C692</f>
        <v>639.19000000000005</v>
      </c>
      <c r="F316" s="89">
        <f>'Rekapitulacija Posebni dio'!D225+'Rekapitulacija Posebni dio'!D692</f>
        <v>639.19000000000005</v>
      </c>
      <c r="G316" s="89">
        <f>'Rekapitulacija Posebni dio'!E225+'Rekapitulacija Posebni dio'!E692</f>
        <v>639.19000000000005</v>
      </c>
      <c r="H316" s="89">
        <f>'Rekapitulacija Posebni dio'!F225+'Rekapitulacija Posebni dio'!F692</f>
        <v>639.19000000000005</v>
      </c>
      <c r="I316" s="585">
        <f t="shared" si="102"/>
        <v>100</v>
      </c>
      <c r="J316" s="585">
        <f t="shared" si="103"/>
        <v>100</v>
      </c>
      <c r="K316" s="64"/>
      <c r="L316" s="64"/>
      <c r="M316" s="64"/>
      <c r="N316" s="64"/>
      <c r="O316" s="64"/>
      <c r="P316" s="64"/>
      <c r="Q316" s="64"/>
    </row>
    <row r="317" spans="1:17" s="65" customFormat="1" ht="15.75" customHeight="1" x14ac:dyDescent="0.25">
      <c r="A317" s="82"/>
      <c r="B317" s="87" t="s">
        <v>116</v>
      </c>
      <c r="C317" s="82"/>
      <c r="D317" s="82" t="s">
        <v>117</v>
      </c>
      <c r="E317" s="52">
        <f>SUM(E318:E319)</f>
        <v>9954.2099999999991</v>
      </c>
      <c r="F317" s="52">
        <f>SUM(F318:F319)</f>
        <v>9954.2099999999991</v>
      </c>
      <c r="G317" s="52">
        <f>SUM(G318:G319)</f>
        <v>0</v>
      </c>
      <c r="H317" s="52">
        <f t="shared" ref="H317" si="130">SUM(H318:H319)</f>
        <v>0</v>
      </c>
      <c r="I317" s="591">
        <f t="shared" si="102"/>
        <v>0</v>
      </c>
      <c r="J317" s="591">
        <f t="shared" si="103"/>
        <v>0</v>
      </c>
      <c r="K317" s="64"/>
      <c r="L317" s="64"/>
      <c r="M317" s="64"/>
      <c r="N317" s="64"/>
      <c r="O317" s="64"/>
      <c r="P317" s="64"/>
      <c r="Q317" s="64"/>
    </row>
    <row r="318" spans="1:17" s="65" customFormat="1" ht="15.75" customHeight="1" x14ac:dyDescent="0.25">
      <c r="A318" s="82"/>
      <c r="B318" s="88" t="s">
        <v>478</v>
      </c>
      <c r="C318" s="82"/>
      <c r="D318" s="57" t="s">
        <v>399</v>
      </c>
      <c r="E318" s="89">
        <f>'Rekapitulacija Posebni dio'!C227</f>
        <v>7000</v>
      </c>
      <c r="F318" s="89">
        <f>'Rekapitulacija Posebni dio'!D227</f>
        <v>7000</v>
      </c>
      <c r="G318" s="89">
        <f>'Rekapitulacija Posebni dio'!E227</f>
        <v>0</v>
      </c>
      <c r="H318" s="89">
        <f>'Rekapitulacija Posebni dio'!F227</f>
        <v>0</v>
      </c>
      <c r="I318" s="585">
        <f t="shared" si="102"/>
        <v>0</v>
      </c>
      <c r="J318" s="585">
        <f t="shared" si="103"/>
        <v>0</v>
      </c>
      <c r="K318" s="64"/>
      <c r="L318" s="64"/>
      <c r="M318" s="64"/>
      <c r="N318" s="64"/>
      <c r="O318" s="64"/>
      <c r="P318" s="64"/>
      <c r="Q318" s="64"/>
    </row>
    <row r="319" spans="1:17" s="62" customFormat="1" ht="15.75" customHeight="1" x14ac:dyDescent="0.25">
      <c r="A319" s="82"/>
      <c r="B319" s="88" t="s">
        <v>479</v>
      </c>
      <c r="C319" s="82"/>
      <c r="D319" s="57" t="s">
        <v>400</v>
      </c>
      <c r="E319" s="89">
        <f>'Rekapitulacija Posebni dio'!C228+'Rekapitulacija Posebni dio'!C694</f>
        <v>2954.21</v>
      </c>
      <c r="F319" s="89">
        <f>'Rekapitulacija Posebni dio'!D228+'Rekapitulacija Posebni dio'!D694</f>
        <v>2954.2099999999991</v>
      </c>
      <c r="G319" s="89">
        <f>'Rekapitulacija Posebni dio'!E228+'Rekapitulacija Posebni dio'!E694</f>
        <v>0</v>
      </c>
      <c r="H319" s="89">
        <f>'Rekapitulacija Posebni dio'!F228+'Rekapitulacija Posebni dio'!F694</f>
        <v>0</v>
      </c>
      <c r="I319" s="585">
        <f t="shared" si="102"/>
        <v>0</v>
      </c>
      <c r="J319" s="585">
        <f t="shared" si="103"/>
        <v>0</v>
      </c>
      <c r="K319" s="58"/>
      <c r="L319" s="58"/>
      <c r="M319" s="58"/>
      <c r="N319" s="58"/>
      <c r="O319" s="58"/>
      <c r="P319" s="58"/>
      <c r="Q319" s="58"/>
    </row>
    <row r="320" spans="1:17" s="62" customFormat="1" ht="15.75" customHeight="1" x14ac:dyDescent="0.25">
      <c r="A320" s="82"/>
      <c r="B320" s="87" t="s">
        <v>118</v>
      </c>
      <c r="C320" s="82"/>
      <c r="D320" s="82" t="s">
        <v>119</v>
      </c>
      <c r="E320" s="52">
        <f>SUM(E321:E322)</f>
        <v>38805.360000000001</v>
      </c>
      <c r="F320" s="52">
        <f>SUM(F321:F322)</f>
        <v>38805.360000000001</v>
      </c>
      <c r="G320" s="52">
        <f>SUM(G321:G322)</f>
        <v>18805.36</v>
      </c>
      <c r="H320" s="52">
        <f t="shared" ref="H320" si="131">SUM(H321:H322)</f>
        <v>18655.36</v>
      </c>
      <c r="I320" s="591">
        <f t="shared" si="102"/>
        <v>48.074183566393927</v>
      </c>
      <c r="J320" s="591">
        <f t="shared" si="103"/>
        <v>99.202355073234443</v>
      </c>
      <c r="K320" s="58"/>
      <c r="L320" s="58"/>
      <c r="M320" s="58"/>
      <c r="N320" s="58"/>
      <c r="O320" s="58"/>
      <c r="P320" s="58"/>
      <c r="Q320" s="58"/>
    </row>
    <row r="321" spans="1:17" s="62" customFormat="1" ht="15.75" customHeight="1" x14ac:dyDescent="0.25">
      <c r="A321" s="82"/>
      <c r="B321" s="88" t="s">
        <v>483</v>
      </c>
      <c r="C321" s="82"/>
      <c r="D321" s="57" t="s">
        <v>405</v>
      </c>
      <c r="E321" s="89">
        <f>'Rekapitulacija Posebni dio'!C230</f>
        <v>13500</v>
      </c>
      <c r="F321" s="89">
        <f>'Rekapitulacija Posebni dio'!D230</f>
        <v>13500</v>
      </c>
      <c r="G321" s="89">
        <f>'Rekapitulacija Posebni dio'!E230</f>
        <v>13500</v>
      </c>
      <c r="H321" s="89">
        <f>'Rekapitulacija Posebni dio'!F230</f>
        <v>13350</v>
      </c>
      <c r="I321" s="585">
        <f t="shared" si="102"/>
        <v>98.888888888888886</v>
      </c>
      <c r="J321" s="585">
        <f t="shared" si="103"/>
        <v>98.888888888888886</v>
      </c>
      <c r="K321" s="58"/>
      <c r="L321" s="58"/>
      <c r="M321" s="58"/>
      <c r="N321" s="58"/>
      <c r="O321" s="58"/>
      <c r="P321" s="58"/>
      <c r="Q321" s="58"/>
    </row>
    <row r="322" spans="1:17" s="62" customFormat="1" x14ac:dyDescent="0.25">
      <c r="A322" s="82"/>
      <c r="B322" s="88" t="s">
        <v>484</v>
      </c>
      <c r="C322" s="82"/>
      <c r="D322" s="57" t="s">
        <v>402</v>
      </c>
      <c r="E322" s="89">
        <f>'Rekapitulacija Posebni dio'!C231</f>
        <v>25305.360000000001</v>
      </c>
      <c r="F322" s="89">
        <f>'Rekapitulacija Posebni dio'!D231</f>
        <v>25305.360000000001</v>
      </c>
      <c r="G322" s="89">
        <f>'Rekapitulacija Posebni dio'!E231</f>
        <v>5305.36</v>
      </c>
      <c r="H322" s="89">
        <f>'Rekapitulacija Posebni dio'!F231</f>
        <v>5305.36</v>
      </c>
      <c r="I322" s="585">
        <f t="shared" si="102"/>
        <v>20.965360698286844</v>
      </c>
      <c r="J322" s="585">
        <f t="shared" si="103"/>
        <v>100</v>
      </c>
      <c r="K322" s="58"/>
      <c r="L322" s="58"/>
      <c r="M322" s="58"/>
      <c r="N322" s="58"/>
      <c r="O322" s="58"/>
      <c r="P322" s="58"/>
      <c r="Q322" s="58"/>
    </row>
    <row r="323" spans="1:17" s="62" customFormat="1" hidden="1" x14ac:dyDescent="0.25">
      <c r="A323" s="82"/>
      <c r="B323" s="87" t="s">
        <v>120</v>
      </c>
      <c r="C323" s="82"/>
      <c r="D323" s="97" t="s">
        <v>533</v>
      </c>
      <c r="E323" s="52">
        <f>SUM(E324)</f>
        <v>0</v>
      </c>
      <c r="F323" s="52">
        <f>SUM(F324)</f>
        <v>0</v>
      </c>
      <c r="G323" s="52">
        <f>SUM(G324)</f>
        <v>0</v>
      </c>
      <c r="H323" s="52">
        <f t="shared" ref="H323" si="132">SUM(H324)</f>
        <v>0</v>
      </c>
      <c r="I323" s="591">
        <f t="shared" si="102"/>
        <v>0</v>
      </c>
      <c r="J323" s="591">
        <f t="shared" si="103"/>
        <v>0</v>
      </c>
      <c r="K323" s="58"/>
      <c r="L323" s="58"/>
      <c r="M323" s="58"/>
      <c r="N323" s="58"/>
      <c r="O323" s="58"/>
      <c r="P323" s="58"/>
      <c r="Q323" s="58"/>
    </row>
    <row r="324" spans="1:17" s="65" customFormat="1" ht="14.25" hidden="1" customHeight="1" x14ac:dyDescent="0.25">
      <c r="A324" s="82"/>
      <c r="B324" s="88" t="s">
        <v>522</v>
      </c>
      <c r="C324" s="82"/>
      <c r="D324" s="98" t="s">
        <v>534</v>
      </c>
      <c r="E324" s="89">
        <f>'Rekapitulacija Posebni dio'!C696</f>
        <v>0</v>
      </c>
      <c r="F324" s="89">
        <f>'Rekapitulacija Posebni dio'!D696</f>
        <v>0</v>
      </c>
      <c r="G324" s="89">
        <f>'Rekapitulacija Posebni dio'!E696</f>
        <v>0</v>
      </c>
      <c r="H324" s="89">
        <f>'Rekapitulacija Posebni dio'!F696</f>
        <v>0</v>
      </c>
      <c r="I324" s="585">
        <f t="shared" si="102"/>
        <v>0</v>
      </c>
      <c r="J324" s="585">
        <f t="shared" si="103"/>
        <v>0</v>
      </c>
      <c r="K324" s="64"/>
      <c r="L324" s="64"/>
      <c r="M324" s="64"/>
      <c r="N324" s="64"/>
      <c r="O324" s="64"/>
      <c r="P324" s="64"/>
      <c r="Q324" s="64"/>
    </row>
    <row r="325" spans="1:17" s="65" customFormat="1" ht="14.25" hidden="1" x14ac:dyDescent="0.25">
      <c r="A325" s="82"/>
      <c r="B325" s="87" t="s">
        <v>122</v>
      </c>
      <c r="C325" s="82"/>
      <c r="D325" s="97" t="s">
        <v>123</v>
      </c>
      <c r="E325" s="52">
        <f>SUM(E326)</f>
        <v>0</v>
      </c>
      <c r="F325" s="52">
        <f>SUM(F326)</f>
        <v>0</v>
      </c>
      <c r="G325" s="52">
        <f>SUM(G326)</f>
        <v>0</v>
      </c>
      <c r="H325" s="52">
        <f t="shared" ref="H325" si="133">SUM(H326)</f>
        <v>0</v>
      </c>
      <c r="I325" s="591">
        <f t="shared" si="102"/>
        <v>0</v>
      </c>
      <c r="J325" s="591">
        <f t="shared" si="103"/>
        <v>0</v>
      </c>
      <c r="K325" s="64"/>
      <c r="L325" s="64"/>
      <c r="M325" s="64"/>
      <c r="N325" s="64"/>
      <c r="O325" s="64"/>
      <c r="P325" s="64"/>
      <c r="Q325" s="64"/>
    </row>
    <row r="326" spans="1:17" s="65" customFormat="1" hidden="1" x14ac:dyDescent="0.25">
      <c r="A326" s="82"/>
      <c r="B326" s="88" t="s">
        <v>485</v>
      </c>
      <c r="C326" s="82"/>
      <c r="D326" s="98" t="s">
        <v>123</v>
      </c>
      <c r="E326" s="89">
        <f>'Rekapitulacija Posebni dio'!C698</f>
        <v>0</v>
      </c>
      <c r="F326" s="89">
        <f>'Rekapitulacija Posebni dio'!D698</f>
        <v>0</v>
      </c>
      <c r="G326" s="89">
        <f>'Rekapitulacija Posebni dio'!E698</f>
        <v>0</v>
      </c>
      <c r="H326" s="89">
        <f>'Rekapitulacija Posebni dio'!F698</f>
        <v>0</v>
      </c>
      <c r="I326" s="585">
        <f t="shared" si="102"/>
        <v>0</v>
      </c>
      <c r="J326" s="585">
        <f t="shared" si="103"/>
        <v>0</v>
      </c>
      <c r="K326" s="64"/>
      <c r="L326" s="64"/>
      <c r="M326" s="64"/>
      <c r="N326" s="64"/>
      <c r="O326" s="64"/>
      <c r="P326" s="64"/>
      <c r="Q326" s="64"/>
    </row>
    <row r="327" spans="1:17" s="65" customFormat="1" ht="14.25" hidden="1" x14ac:dyDescent="0.25">
      <c r="A327" s="82"/>
      <c r="B327" s="87" t="s">
        <v>124</v>
      </c>
      <c r="C327" s="82"/>
      <c r="D327" s="97" t="s">
        <v>125</v>
      </c>
      <c r="E327" s="52">
        <f>SUM(E328)</f>
        <v>0</v>
      </c>
      <c r="F327" s="52">
        <f>SUM(F328)</f>
        <v>0</v>
      </c>
      <c r="G327" s="52">
        <f>SUM(G328)</f>
        <v>0</v>
      </c>
      <c r="H327" s="52">
        <f t="shared" ref="H327" si="134">SUM(H328)</f>
        <v>0</v>
      </c>
      <c r="I327" s="591">
        <f t="shared" si="102"/>
        <v>0</v>
      </c>
      <c r="J327" s="591">
        <f t="shared" si="103"/>
        <v>0</v>
      </c>
      <c r="K327" s="64"/>
      <c r="L327" s="64"/>
      <c r="M327" s="64"/>
      <c r="N327" s="64"/>
      <c r="O327" s="64"/>
      <c r="P327" s="64"/>
      <c r="Q327" s="64"/>
    </row>
    <row r="328" spans="1:17" s="65" customFormat="1" hidden="1" x14ac:dyDescent="0.25">
      <c r="A328" s="82"/>
      <c r="B328" s="88" t="s">
        <v>486</v>
      </c>
      <c r="C328" s="82"/>
      <c r="D328" s="98" t="s">
        <v>125</v>
      </c>
      <c r="E328" s="89"/>
      <c r="F328" s="89"/>
      <c r="G328" s="89"/>
      <c r="H328" s="89"/>
      <c r="I328" s="585">
        <f t="shared" si="102"/>
        <v>0</v>
      </c>
      <c r="J328" s="585">
        <f t="shared" si="103"/>
        <v>0</v>
      </c>
      <c r="K328" s="64"/>
      <c r="L328" s="64"/>
      <c r="M328" s="64"/>
      <c r="N328" s="64"/>
      <c r="O328" s="64"/>
      <c r="P328" s="64"/>
      <c r="Q328" s="64"/>
    </row>
    <row r="329" spans="1:17" s="65" customFormat="1" ht="14.25" x14ac:dyDescent="0.25">
      <c r="A329" s="82"/>
      <c r="B329" s="87" t="s">
        <v>126</v>
      </c>
      <c r="C329" s="82"/>
      <c r="D329" s="97" t="s">
        <v>127</v>
      </c>
      <c r="E329" s="52">
        <f>E330+E331+E335+E336+E337+E338+E340+E342+E343</f>
        <v>13199.83</v>
      </c>
      <c r="F329" s="52">
        <f>F330+F331+F335+F336+F337+F338+F340+F342+F343</f>
        <v>28535.41</v>
      </c>
      <c r="G329" s="52">
        <f>G330+G331+G335+G336+G337+G338+G340+G342+G343</f>
        <v>28535.41</v>
      </c>
      <c r="H329" s="52">
        <f t="shared" ref="H329" si="135">H330+H331+H335+H336+H337+H338+H340+H342+H343</f>
        <v>10617.83</v>
      </c>
      <c r="I329" s="591">
        <f t="shared" si="102"/>
        <v>37.209312920333012</v>
      </c>
      <c r="J329" s="591">
        <f t="shared" si="103"/>
        <v>37.209312920333012</v>
      </c>
      <c r="K329" s="64"/>
      <c r="L329" s="64"/>
      <c r="M329" s="64"/>
      <c r="N329" s="64"/>
      <c r="O329" s="64"/>
      <c r="P329" s="64"/>
      <c r="Q329" s="64"/>
    </row>
    <row r="330" spans="1:17" s="65" customFormat="1" ht="14.25" x14ac:dyDescent="0.25">
      <c r="A330" s="82"/>
      <c r="B330" s="87" t="s">
        <v>128</v>
      </c>
      <c r="C330" s="82"/>
      <c r="D330" s="97" t="s">
        <v>129</v>
      </c>
      <c r="E330" s="52"/>
      <c r="F330" s="52"/>
      <c r="G330" s="52"/>
      <c r="H330" s="52"/>
      <c r="I330" s="591">
        <f t="shared" ref="I330:I393" si="136">IFERROR(H330/F330*100,H330)</f>
        <v>0</v>
      </c>
      <c r="J330" s="591">
        <f t="shared" ref="J330:J393" si="137">IFERROR(H330/G330*100,H330)</f>
        <v>0</v>
      </c>
      <c r="K330" s="64"/>
      <c r="L330" s="64"/>
      <c r="M330" s="64"/>
      <c r="N330" s="64"/>
      <c r="O330" s="64"/>
      <c r="P330" s="64"/>
      <c r="Q330" s="64"/>
    </row>
    <row r="331" spans="1:17" s="65" customFormat="1" ht="14.25" x14ac:dyDescent="0.25">
      <c r="A331" s="82"/>
      <c r="B331" s="87" t="s">
        <v>130</v>
      </c>
      <c r="C331" s="82"/>
      <c r="D331" s="97" t="s">
        <v>131</v>
      </c>
      <c r="E331" s="52">
        <f>SUM(E332:E334)</f>
        <v>3750</v>
      </c>
      <c r="F331" s="52">
        <f>SUM(F332:F334)</f>
        <v>17917.580000000002</v>
      </c>
      <c r="G331" s="52">
        <f>SUM(G332:G334)</f>
        <v>17917.580000000002</v>
      </c>
      <c r="H331" s="52">
        <f t="shared" ref="H331" si="138">SUM(H332:H334)</f>
        <v>0</v>
      </c>
      <c r="I331" s="591">
        <f t="shared" si="136"/>
        <v>0</v>
      </c>
      <c r="J331" s="591">
        <f t="shared" si="137"/>
        <v>0</v>
      </c>
      <c r="K331" s="64"/>
      <c r="L331" s="64"/>
      <c r="M331" s="64"/>
      <c r="N331" s="64"/>
      <c r="O331" s="64"/>
      <c r="P331" s="64"/>
      <c r="Q331" s="64"/>
    </row>
    <row r="332" spans="1:17" s="65" customFormat="1" x14ac:dyDescent="0.25">
      <c r="A332" s="82"/>
      <c r="B332" s="88" t="s">
        <v>510</v>
      </c>
      <c r="C332" s="82"/>
      <c r="D332" s="42" t="s">
        <v>413</v>
      </c>
      <c r="E332" s="89">
        <f>'Rekapitulacija Posebni dio'!C238+'Rekapitulacija Posebni dio'!C702</f>
        <v>0</v>
      </c>
      <c r="F332" s="89">
        <f>'Rekapitulacija Posebni dio'!D238+'Rekapitulacija Posebni dio'!D702</f>
        <v>11000</v>
      </c>
      <c r="G332" s="89">
        <f>'Rekapitulacija Posebni dio'!E238+'Rekapitulacija Posebni dio'!E702</f>
        <v>11000</v>
      </c>
      <c r="H332" s="89">
        <f>'Rekapitulacija Posebni dio'!F238+'Rekapitulacija Posebni dio'!F702</f>
        <v>0</v>
      </c>
      <c r="I332" s="585">
        <f t="shared" si="136"/>
        <v>0</v>
      </c>
      <c r="J332" s="585">
        <f t="shared" si="137"/>
        <v>0</v>
      </c>
      <c r="K332" s="64"/>
      <c r="L332" s="64"/>
      <c r="M332" s="64"/>
      <c r="N332" s="64"/>
      <c r="O332" s="64"/>
      <c r="P332" s="64"/>
      <c r="Q332" s="64"/>
    </row>
    <row r="333" spans="1:17" s="65" customFormat="1" x14ac:dyDescent="0.25">
      <c r="A333" s="82"/>
      <c r="B333" s="88" t="s">
        <v>511</v>
      </c>
      <c r="C333" s="82"/>
      <c r="D333" s="42" t="s">
        <v>414</v>
      </c>
      <c r="E333" s="89">
        <f>'Rekapitulacija Posebni dio'!C239</f>
        <v>3750</v>
      </c>
      <c r="F333" s="89">
        <f>'Rekapitulacija Posebni dio'!D239</f>
        <v>3750</v>
      </c>
      <c r="G333" s="89">
        <f>'Rekapitulacija Posebni dio'!E239</f>
        <v>3750</v>
      </c>
      <c r="H333" s="89">
        <f>'Rekapitulacija Posebni dio'!F239</f>
        <v>0</v>
      </c>
      <c r="I333" s="585">
        <f t="shared" si="136"/>
        <v>0</v>
      </c>
      <c r="J333" s="585">
        <f t="shared" si="137"/>
        <v>0</v>
      </c>
      <c r="K333" s="64"/>
      <c r="L333" s="64"/>
      <c r="M333" s="64"/>
      <c r="N333" s="64"/>
      <c r="O333" s="64"/>
      <c r="P333" s="64"/>
      <c r="Q333" s="64"/>
    </row>
    <row r="334" spans="1:17" s="65" customFormat="1" x14ac:dyDescent="0.25">
      <c r="A334" s="82"/>
      <c r="B334" s="88" t="s">
        <v>512</v>
      </c>
      <c r="C334" s="82"/>
      <c r="D334" s="42" t="s">
        <v>412</v>
      </c>
      <c r="E334" s="89">
        <f>'Rekapitulacija Posebni dio'!C240</f>
        <v>0</v>
      </c>
      <c r="F334" s="89">
        <f>'Rekapitulacija Posebni dio'!D240</f>
        <v>3167.5800000000017</v>
      </c>
      <c r="G334" s="89">
        <f>'Rekapitulacija Posebni dio'!E240</f>
        <v>3167.5800000000017</v>
      </c>
      <c r="H334" s="89">
        <f>'Rekapitulacija Posebni dio'!F240</f>
        <v>0</v>
      </c>
      <c r="I334" s="585">
        <f t="shared" si="136"/>
        <v>0</v>
      </c>
      <c r="J334" s="585">
        <f t="shared" si="137"/>
        <v>0</v>
      </c>
      <c r="K334" s="64"/>
      <c r="L334" s="64"/>
      <c r="M334" s="64"/>
      <c r="N334" s="64"/>
      <c r="O334" s="64"/>
      <c r="P334" s="64"/>
      <c r="Q334" s="64"/>
    </row>
    <row r="335" spans="1:17" s="65" customFormat="1" ht="14.25" hidden="1" x14ac:dyDescent="0.25">
      <c r="A335" s="82"/>
      <c r="B335" s="87" t="s">
        <v>132</v>
      </c>
      <c r="C335" s="82"/>
      <c r="D335" s="97" t="s">
        <v>133</v>
      </c>
      <c r="E335" s="52"/>
      <c r="F335" s="52"/>
      <c r="G335" s="52"/>
      <c r="H335" s="52"/>
      <c r="I335" s="591">
        <f t="shared" si="136"/>
        <v>0</v>
      </c>
      <c r="J335" s="591">
        <f t="shared" si="137"/>
        <v>0</v>
      </c>
      <c r="K335" s="64"/>
      <c r="L335" s="64"/>
      <c r="M335" s="64"/>
      <c r="N335" s="64"/>
      <c r="O335" s="64"/>
      <c r="P335" s="64"/>
      <c r="Q335" s="64"/>
    </row>
    <row r="336" spans="1:17" s="65" customFormat="1" ht="14.25" hidden="1" x14ac:dyDescent="0.25">
      <c r="A336" s="82"/>
      <c r="B336" s="99" t="s">
        <v>134</v>
      </c>
      <c r="C336" s="100"/>
      <c r="D336" s="101" t="s">
        <v>135</v>
      </c>
      <c r="E336" s="52"/>
      <c r="F336" s="52"/>
      <c r="G336" s="52"/>
      <c r="H336" s="52"/>
      <c r="I336" s="591">
        <f t="shared" si="136"/>
        <v>0</v>
      </c>
      <c r="J336" s="591">
        <f t="shared" si="137"/>
        <v>0</v>
      </c>
      <c r="K336" s="64"/>
      <c r="L336" s="64"/>
      <c r="M336" s="64"/>
      <c r="N336" s="64"/>
      <c r="O336" s="64"/>
      <c r="P336" s="64"/>
      <c r="Q336" s="64"/>
    </row>
    <row r="337" spans="1:17" s="65" customFormat="1" ht="14.25" hidden="1" x14ac:dyDescent="0.25">
      <c r="A337" s="82"/>
      <c r="B337" s="99">
        <v>3235</v>
      </c>
      <c r="C337" s="100"/>
      <c r="D337" s="101" t="s">
        <v>136</v>
      </c>
      <c r="E337" s="52"/>
      <c r="F337" s="52"/>
      <c r="G337" s="52"/>
      <c r="H337" s="52"/>
      <c r="I337" s="591">
        <f t="shared" si="136"/>
        <v>0</v>
      </c>
      <c r="J337" s="591">
        <f t="shared" si="137"/>
        <v>0</v>
      </c>
      <c r="K337" s="64"/>
      <c r="L337" s="64"/>
      <c r="M337" s="64"/>
      <c r="N337" s="64"/>
      <c r="O337" s="64"/>
      <c r="P337" s="64"/>
      <c r="Q337" s="64"/>
    </row>
    <row r="338" spans="1:17" s="65" customFormat="1" ht="14.25" x14ac:dyDescent="0.25">
      <c r="A338" s="82"/>
      <c r="B338" s="99">
        <v>3236</v>
      </c>
      <c r="C338" s="100"/>
      <c r="D338" s="101" t="s">
        <v>137</v>
      </c>
      <c r="E338" s="52">
        <f>SUM(E339)</f>
        <v>2654.46</v>
      </c>
      <c r="F338" s="52">
        <f>SUM(F339)</f>
        <v>2654.46</v>
      </c>
      <c r="G338" s="52">
        <f>SUM(G339)</f>
        <v>2654.46</v>
      </c>
      <c r="H338" s="52">
        <f t="shared" ref="H338" si="139">SUM(H339)</f>
        <v>2654.46</v>
      </c>
      <c r="I338" s="591">
        <f t="shared" si="136"/>
        <v>100</v>
      </c>
      <c r="J338" s="591">
        <f t="shared" si="137"/>
        <v>100</v>
      </c>
      <c r="K338" s="64"/>
      <c r="L338" s="64"/>
      <c r="M338" s="64"/>
      <c r="N338" s="64"/>
      <c r="O338" s="64"/>
      <c r="P338" s="64"/>
      <c r="Q338" s="64"/>
    </row>
    <row r="339" spans="1:17" s="65" customFormat="1" x14ac:dyDescent="0.25">
      <c r="A339" s="82"/>
      <c r="B339" s="102">
        <v>32369</v>
      </c>
      <c r="C339" s="103"/>
      <c r="D339" s="104" t="s">
        <v>421</v>
      </c>
      <c r="E339" s="89">
        <f>'Rekapitulacija Posebni dio'!C245</f>
        <v>2654.46</v>
      </c>
      <c r="F339" s="89">
        <f>'Rekapitulacija Posebni dio'!D245</f>
        <v>2654.46</v>
      </c>
      <c r="G339" s="89">
        <f>'Rekapitulacija Posebni dio'!E245</f>
        <v>2654.46</v>
      </c>
      <c r="H339" s="89">
        <f>'Rekapitulacija Posebni dio'!F245</f>
        <v>2654.46</v>
      </c>
      <c r="I339" s="585">
        <f t="shared" si="136"/>
        <v>100</v>
      </c>
      <c r="J339" s="585">
        <f t="shared" si="137"/>
        <v>100</v>
      </c>
      <c r="K339" s="64"/>
      <c r="L339" s="64"/>
      <c r="M339" s="64"/>
      <c r="N339" s="64"/>
      <c r="O339" s="64"/>
      <c r="P339" s="64"/>
      <c r="Q339" s="64"/>
    </row>
    <row r="340" spans="1:17" s="65" customFormat="1" ht="14.25" x14ac:dyDescent="0.25">
      <c r="A340" s="82"/>
      <c r="B340" s="99">
        <v>3237</v>
      </c>
      <c r="C340" s="100"/>
      <c r="D340" s="101" t="s">
        <v>138</v>
      </c>
      <c r="E340" s="52">
        <f>SUM(E341)</f>
        <v>4645.3</v>
      </c>
      <c r="F340" s="52">
        <f>SUM(F341)</f>
        <v>4645.3</v>
      </c>
      <c r="G340" s="52">
        <f>SUM(G341)</f>
        <v>4645.3</v>
      </c>
      <c r="H340" s="52">
        <f t="shared" ref="H340" si="140">SUM(H341)</f>
        <v>4645.3</v>
      </c>
      <c r="I340" s="591">
        <f t="shared" si="136"/>
        <v>100</v>
      </c>
      <c r="J340" s="591">
        <f t="shared" si="137"/>
        <v>100</v>
      </c>
      <c r="K340" s="64"/>
      <c r="L340" s="64"/>
      <c r="M340" s="64"/>
      <c r="N340" s="64"/>
      <c r="O340" s="64"/>
      <c r="P340" s="64"/>
      <c r="Q340" s="64"/>
    </row>
    <row r="341" spans="1:17" s="65" customFormat="1" x14ac:dyDescent="0.25">
      <c r="A341" s="82"/>
      <c r="B341" s="102">
        <v>32372</v>
      </c>
      <c r="C341" s="103"/>
      <c r="D341" s="104" t="s">
        <v>422</v>
      </c>
      <c r="E341" s="89">
        <f>'Rekapitulacija Posebni dio'!C247</f>
        <v>4645.3</v>
      </c>
      <c r="F341" s="89">
        <f>'Rekapitulacija Posebni dio'!D247</f>
        <v>4645.3</v>
      </c>
      <c r="G341" s="89">
        <f>'Rekapitulacija Posebni dio'!E247</f>
        <v>4645.3</v>
      </c>
      <c r="H341" s="89">
        <f>'Rekapitulacija Posebni dio'!F247</f>
        <v>4645.3</v>
      </c>
      <c r="I341" s="585">
        <f t="shared" si="136"/>
        <v>100</v>
      </c>
      <c r="J341" s="585">
        <f t="shared" si="137"/>
        <v>100</v>
      </c>
      <c r="K341" s="64"/>
      <c r="L341" s="64"/>
      <c r="M341" s="64"/>
      <c r="N341" s="64"/>
      <c r="O341" s="64"/>
      <c r="P341" s="64"/>
      <c r="Q341" s="64"/>
    </row>
    <row r="342" spans="1:17" s="65" customFormat="1" ht="14.25" x14ac:dyDescent="0.25">
      <c r="A342" s="82"/>
      <c r="B342" s="99" t="s">
        <v>139</v>
      </c>
      <c r="C342" s="100"/>
      <c r="D342" s="101" t="s">
        <v>140</v>
      </c>
      <c r="E342" s="52"/>
      <c r="F342" s="52"/>
      <c r="G342" s="52"/>
      <c r="H342" s="52"/>
      <c r="I342" s="591">
        <f t="shared" si="136"/>
        <v>0</v>
      </c>
      <c r="J342" s="591">
        <f t="shared" si="137"/>
        <v>0</v>
      </c>
      <c r="K342" s="64"/>
      <c r="L342" s="64"/>
      <c r="M342" s="64"/>
      <c r="N342" s="64"/>
      <c r="O342" s="64"/>
      <c r="P342" s="64"/>
      <c r="Q342" s="64"/>
    </row>
    <row r="343" spans="1:17" s="65" customFormat="1" ht="14.25" x14ac:dyDescent="0.25">
      <c r="A343" s="82"/>
      <c r="B343" s="99" t="s">
        <v>141</v>
      </c>
      <c r="C343" s="100"/>
      <c r="D343" s="101" t="s">
        <v>142</v>
      </c>
      <c r="E343" s="52">
        <f>SUM(E344)</f>
        <v>2150.0700000000002</v>
      </c>
      <c r="F343" s="52">
        <f>SUM(F344)</f>
        <v>3318.07</v>
      </c>
      <c r="G343" s="52">
        <f>SUM(G344)</f>
        <v>3318.07</v>
      </c>
      <c r="H343" s="52">
        <f t="shared" ref="H343" si="141">SUM(H344)</f>
        <v>3318.07</v>
      </c>
      <c r="I343" s="591">
        <f t="shared" si="136"/>
        <v>100</v>
      </c>
      <c r="J343" s="591">
        <f t="shared" si="137"/>
        <v>100</v>
      </c>
      <c r="K343" s="64"/>
      <c r="L343" s="64"/>
      <c r="M343" s="64"/>
      <c r="N343" s="64"/>
      <c r="O343" s="64"/>
      <c r="P343" s="64"/>
      <c r="Q343" s="64"/>
    </row>
    <row r="344" spans="1:17" s="65" customFormat="1" ht="13.9" customHeight="1" x14ac:dyDescent="0.25">
      <c r="A344" s="57"/>
      <c r="B344" s="102">
        <v>32399</v>
      </c>
      <c r="C344" s="103"/>
      <c r="D344" s="104" t="s">
        <v>305</v>
      </c>
      <c r="E344" s="89">
        <f>'Rekapitulacija Posebni dio'!C250+'Rekapitulacija Posebni dio'!C705</f>
        <v>2150.0700000000002</v>
      </c>
      <c r="F344" s="89">
        <f>'Rekapitulacija Posebni dio'!D250+'Rekapitulacija Posebni dio'!D705</f>
        <v>3318.07</v>
      </c>
      <c r="G344" s="89">
        <f>'Rekapitulacija Posebni dio'!E250+'Rekapitulacija Posebni dio'!E705</f>
        <v>3318.07</v>
      </c>
      <c r="H344" s="89">
        <f>'Rekapitulacija Posebni dio'!F250+'Rekapitulacija Posebni dio'!F705</f>
        <v>3318.07</v>
      </c>
      <c r="I344" s="585">
        <f t="shared" si="136"/>
        <v>100</v>
      </c>
      <c r="J344" s="585">
        <f t="shared" si="137"/>
        <v>100</v>
      </c>
      <c r="K344" s="64"/>
      <c r="L344" s="64"/>
      <c r="M344" s="64"/>
      <c r="N344" s="64"/>
      <c r="O344" s="64"/>
      <c r="P344" s="64"/>
      <c r="Q344" s="64"/>
    </row>
    <row r="345" spans="1:17" s="65" customFormat="1" ht="13.9" customHeight="1" x14ac:dyDescent="0.25">
      <c r="A345" s="57"/>
      <c r="B345" s="92" t="s">
        <v>609</v>
      </c>
      <c r="C345" s="100"/>
      <c r="D345" s="118" t="s">
        <v>127</v>
      </c>
      <c r="E345" s="52">
        <f>E346</f>
        <v>0</v>
      </c>
      <c r="F345" s="52">
        <f>F346</f>
        <v>0</v>
      </c>
      <c r="G345" s="52">
        <f t="shared" ref="G345:H345" si="142">G346</f>
        <v>29954.21</v>
      </c>
      <c r="H345" s="52">
        <f t="shared" si="142"/>
        <v>24209.88</v>
      </c>
      <c r="I345" s="591">
        <f t="shared" si="136"/>
        <v>24209.88</v>
      </c>
      <c r="J345" s="591">
        <f t="shared" si="137"/>
        <v>80.82296278219323</v>
      </c>
      <c r="K345" s="64"/>
      <c r="L345" s="64"/>
      <c r="M345" s="64"/>
      <c r="N345" s="64"/>
      <c r="O345" s="64"/>
      <c r="P345" s="64"/>
      <c r="Q345" s="64"/>
    </row>
    <row r="346" spans="1:17" s="65" customFormat="1" ht="13.9" customHeight="1" x14ac:dyDescent="0.25">
      <c r="A346" s="57"/>
      <c r="B346" s="92" t="s">
        <v>610</v>
      </c>
      <c r="C346" s="100"/>
      <c r="D346" s="118" t="s">
        <v>142</v>
      </c>
      <c r="E346" s="52">
        <f>E347+E348</f>
        <v>0</v>
      </c>
      <c r="F346" s="52">
        <f>F347+F348</f>
        <v>0</v>
      </c>
      <c r="G346" s="52">
        <f t="shared" ref="G346:H346" si="143">G347+G348</f>
        <v>29954.21</v>
      </c>
      <c r="H346" s="52">
        <f t="shared" si="143"/>
        <v>24209.88</v>
      </c>
      <c r="I346" s="591">
        <f t="shared" si="136"/>
        <v>24209.88</v>
      </c>
      <c r="J346" s="591">
        <f t="shared" si="137"/>
        <v>80.82296278219323</v>
      </c>
      <c r="K346" s="64"/>
      <c r="L346" s="64"/>
      <c r="M346" s="64"/>
      <c r="N346" s="64"/>
      <c r="O346" s="64"/>
      <c r="P346" s="64"/>
      <c r="Q346" s="64"/>
    </row>
    <row r="347" spans="1:17" s="65" customFormat="1" ht="13.9" customHeight="1" x14ac:dyDescent="0.25">
      <c r="A347" s="57"/>
      <c r="B347" s="94" t="s">
        <v>611</v>
      </c>
      <c r="C347" s="100"/>
      <c r="D347" s="119" t="s">
        <v>613</v>
      </c>
      <c r="E347" s="89">
        <f>'Rekapitulacija Posebni dio'!C253</f>
        <v>0</v>
      </c>
      <c r="F347" s="89">
        <f>'Rekapitulacija Posebni dio'!D253</f>
        <v>0</v>
      </c>
      <c r="G347" s="89">
        <f>'Rekapitulacija Posebni dio'!E253</f>
        <v>7954.21</v>
      </c>
      <c r="H347" s="89">
        <f>'Rekapitulacija Posebni dio'!F253</f>
        <v>5642.52</v>
      </c>
      <c r="I347" s="585">
        <f t="shared" si="136"/>
        <v>5642.52</v>
      </c>
      <c r="J347" s="585">
        <f t="shared" si="137"/>
        <v>70.937528679780897</v>
      </c>
      <c r="K347" s="64"/>
      <c r="L347" s="64"/>
      <c r="M347" s="64"/>
      <c r="N347" s="64"/>
      <c r="O347" s="64"/>
      <c r="P347" s="64"/>
      <c r="Q347" s="64"/>
    </row>
    <row r="348" spans="1:17" s="65" customFormat="1" ht="13.9" customHeight="1" x14ac:dyDescent="0.25">
      <c r="A348" s="57"/>
      <c r="B348" s="94" t="s">
        <v>612</v>
      </c>
      <c r="C348" s="100"/>
      <c r="D348" s="119" t="s">
        <v>614</v>
      </c>
      <c r="E348" s="89">
        <f>'Rekapitulacija Posebni dio'!C254</f>
        <v>0</v>
      </c>
      <c r="F348" s="89">
        <f>'Rekapitulacija Posebni dio'!D254</f>
        <v>0</v>
      </c>
      <c r="G348" s="89">
        <f>'Rekapitulacija Posebni dio'!E254</f>
        <v>22000</v>
      </c>
      <c r="H348" s="89">
        <f>'Rekapitulacija Posebni dio'!F254</f>
        <v>18567.36</v>
      </c>
      <c r="I348" s="585">
        <f t="shared" si="136"/>
        <v>18567.36</v>
      </c>
      <c r="J348" s="585">
        <f t="shared" si="137"/>
        <v>84.397090909090906</v>
      </c>
      <c r="K348" s="64"/>
      <c r="L348" s="64"/>
      <c r="M348" s="64"/>
      <c r="N348" s="64"/>
      <c r="O348" s="64"/>
      <c r="P348" s="64"/>
      <c r="Q348" s="64"/>
    </row>
    <row r="349" spans="1:17" s="62" customFormat="1" x14ac:dyDescent="0.25">
      <c r="A349" s="57"/>
      <c r="B349" s="99">
        <v>329</v>
      </c>
      <c r="C349" s="100"/>
      <c r="D349" s="101" t="s">
        <v>144</v>
      </c>
      <c r="E349" s="52">
        <f>E350+E351+E353+E355+E356+E357+E358</f>
        <v>2654.46</v>
      </c>
      <c r="F349" s="52">
        <f>F350+F351+F353+F355+F356+F357+F358</f>
        <v>2654.46</v>
      </c>
      <c r="G349" s="52">
        <f>G350+G351+G353+G355+G356+G357+G358</f>
        <v>2654.46</v>
      </c>
      <c r="H349" s="52">
        <f t="shared" ref="H349" si="144">H350+H351+H353+H355+H356+H357+H358</f>
        <v>2654.46</v>
      </c>
      <c r="I349" s="591">
        <f t="shared" si="136"/>
        <v>100</v>
      </c>
      <c r="J349" s="591">
        <f t="shared" si="137"/>
        <v>100</v>
      </c>
      <c r="K349" s="58"/>
      <c r="L349" s="58"/>
      <c r="M349" s="58"/>
      <c r="N349" s="58"/>
      <c r="O349" s="58"/>
      <c r="P349" s="58"/>
      <c r="Q349" s="58"/>
    </row>
    <row r="350" spans="1:17" s="62" customFormat="1" ht="14.25" customHeight="1" x14ac:dyDescent="0.25">
      <c r="A350" s="57"/>
      <c r="B350" s="99" t="s">
        <v>145</v>
      </c>
      <c r="C350" s="100"/>
      <c r="D350" s="118" t="s">
        <v>146</v>
      </c>
      <c r="E350" s="52"/>
      <c r="F350" s="52"/>
      <c r="G350" s="52"/>
      <c r="H350" s="52"/>
      <c r="I350" s="591">
        <f t="shared" si="136"/>
        <v>0</v>
      </c>
      <c r="J350" s="591">
        <f t="shared" si="137"/>
        <v>0</v>
      </c>
      <c r="K350" s="58"/>
      <c r="L350" s="58"/>
      <c r="M350" s="58"/>
      <c r="N350" s="58"/>
      <c r="O350" s="58"/>
      <c r="P350" s="58"/>
      <c r="Q350" s="58"/>
    </row>
    <row r="351" spans="1:17" s="62" customFormat="1" x14ac:dyDescent="0.25">
      <c r="A351" s="57"/>
      <c r="B351" s="99">
        <v>3292</v>
      </c>
      <c r="C351" s="100"/>
      <c r="D351" s="101" t="s">
        <v>147</v>
      </c>
      <c r="E351" s="52">
        <f>SUM(E352)</f>
        <v>2654.46</v>
      </c>
      <c r="F351" s="52">
        <f>SUM(F352)</f>
        <v>2654.46</v>
      </c>
      <c r="G351" s="52">
        <f>SUM(G352)</f>
        <v>2654.46</v>
      </c>
      <c r="H351" s="52">
        <f t="shared" ref="H351" si="145">SUM(H352)</f>
        <v>2654.46</v>
      </c>
      <c r="I351" s="591">
        <f t="shared" si="136"/>
        <v>100</v>
      </c>
      <c r="J351" s="591">
        <f t="shared" si="137"/>
        <v>100</v>
      </c>
      <c r="K351" s="58"/>
      <c r="L351" s="58"/>
      <c r="M351" s="58"/>
      <c r="N351" s="58"/>
      <c r="O351" s="58"/>
      <c r="P351" s="58"/>
      <c r="Q351" s="58"/>
    </row>
    <row r="352" spans="1:17" s="62" customFormat="1" x14ac:dyDescent="0.25">
      <c r="A352" s="57"/>
      <c r="B352" s="102" t="s">
        <v>501</v>
      </c>
      <c r="C352" s="103"/>
      <c r="D352" s="42" t="s">
        <v>502</v>
      </c>
      <c r="E352" s="89">
        <f>'Rekapitulacija Posebni dio'!C257</f>
        <v>2654.46</v>
      </c>
      <c r="F352" s="89">
        <f>'Rekapitulacija Posebni dio'!D257</f>
        <v>2654.46</v>
      </c>
      <c r="G352" s="89">
        <f>'Rekapitulacija Posebni dio'!E257</f>
        <v>2654.46</v>
      </c>
      <c r="H352" s="89">
        <f>'Rekapitulacija Posebni dio'!F257</f>
        <v>2654.46</v>
      </c>
      <c r="I352" s="585">
        <f t="shared" si="136"/>
        <v>100</v>
      </c>
      <c r="J352" s="585">
        <f t="shared" si="137"/>
        <v>100</v>
      </c>
      <c r="K352" s="58"/>
      <c r="L352" s="58"/>
      <c r="M352" s="58"/>
      <c r="N352" s="58"/>
      <c r="O352" s="58"/>
      <c r="P352" s="58"/>
      <c r="Q352" s="58"/>
    </row>
    <row r="353" spans="1:17" s="62" customFormat="1" hidden="1" x14ac:dyDescent="0.25">
      <c r="A353" s="57"/>
      <c r="B353" s="99">
        <v>3293</v>
      </c>
      <c r="C353" s="100"/>
      <c r="D353" s="101" t="s">
        <v>148</v>
      </c>
      <c r="E353" s="52">
        <f>SUM(E354)</f>
        <v>0</v>
      </c>
      <c r="F353" s="52">
        <f>SUM(F354)</f>
        <v>0</v>
      </c>
      <c r="G353" s="52">
        <f>SUM(G354)</f>
        <v>0</v>
      </c>
      <c r="H353" s="52">
        <f t="shared" ref="H353" si="146">SUM(H354)</f>
        <v>0</v>
      </c>
      <c r="I353" s="591">
        <f t="shared" si="136"/>
        <v>0</v>
      </c>
      <c r="J353" s="591">
        <f t="shared" si="137"/>
        <v>0</v>
      </c>
      <c r="K353" s="58"/>
      <c r="L353" s="58"/>
      <c r="M353" s="58"/>
      <c r="N353" s="58"/>
      <c r="O353" s="58"/>
      <c r="P353" s="58"/>
      <c r="Q353" s="58"/>
    </row>
    <row r="354" spans="1:17" s="62" customFormat="1" hidden="1" x14ac:dyDescent="0.25">
      <c r="A354" s="57"/>
      <c r="B354" s="102">
        <v>32931</v>
      </c>
      <c r="C354" s="103"/>
      <c r="D354" s="104" t="s">
        <v>148</v>
      </c>
      <c r="E354" s="89">
        <f>'Rekapitulacija Posebni dio'!C708</f>
        <v>0</v>
      </c>
      <c r="F354" s="89">
        <f>'Rekapitulacija Posebni dio'!D708</f>
        <v>0</v>
      </c>
      <c r="G354" s="89">
        <f>'Rekapitulacija Posebni dio'!E708</f>
        <v>0</v>
      </c>
      <c r="H354" s="89">
        <f>'Rekapitulacija Posebni dio'!F708</f>
        <v>0</v>
      </c>
      <c r="I354" s="585">
        <f t="shared" si="136"/>
        <v>0</v>
      </c>
      <c r="J354" s="585">
        <f t="shared" si="137"/>
        <v>0</v>
      </c>
      <c r="K354" s="58"/>
      <c r="L354" s="58"/>
      <c r="M354" s="58"/>
      <c r="N354" s="58"/>
      <c r="O354" s="58"/>
      <c r="P354" s="58"/>
      <c r="Q354" s="58"/>
    </row>
    <row r="355" spans="1:17" s="143" customFormat="1" hidden="1" x14ac:dyDescent="0.25">
      <c r="A355" s="57"/>
      <c r="B355" s="99">
        <v>3294</v>
      </c>
      <c r="C355" s="100"/>
      <c r="D355" s="101" t="s">
        <v>149</v>
      </c>
      <c r="E355" s="52"/>
      <c r="F355" s="52"/>
      <c r="G355" s="52"/>
      <c r="H355" s="52"/>
      <c r="I355" s="591">
        <f t="shared" si="136"/>
        <v>0</v>
      </c>
      <c r="J355" s="591">
        <f t="shared" si="137"/>
        <v>0</v>
      </c>
      <c r="K355" s="142"/>
      <c r="L355" s="142"/>
      <c r="M355" s="142"/>
      <c r="N355" s="142"/>
      <c r="O355" s="142"/>
      <c r="P355" s="142"/>
      <c r="Q355" s="142"/>
    </row>
    <row r="356" spans="1:17" s="145" customFormat="1" hidden="1" x14ac:dyDescent="0.25">
      <c r="A356" s="57"/>
      <c r="B356" s="120">
        <v>3295</v>
      </c>
      <c r="C356" s="100"/>
      <c r="D356" s="121" t="s">
        <v>150</v>
      </c>
      <c r="E356" s="52"/>
      <c r="F356" s="52"/>
      <c r="G356" s="52"/>
      <c r="H356" s="52"/>
      <c r="I356" s="591">
        <f t="shared" si="136"/>
        <v>0</v>
      </c>
      <c r="J356" s="591">
        <f t="shared" si="137"/>
        <v>0</v>
      </c>
      <c r="K356" s="144"/>
      <c r="L356" s="144"/>
      <c r="M356" s="144"/>
      <c r="N356" s="144"/>
      <c r="O356" s="144"/>
      <c r="P356" s="144"/>
      <c r="Q356" s="144"/>
    </row>
    <row r="357" spans="1:17" s="147" customFormat="1" hidden="1" x14ac:dyDescent="0.25">
      <c r="A357" s="57"/>
      <c r="B357" s="120">
        <v>3296</v>
      </c>
      <c r="C357" s="100"/>
      <c r="D357" s="121" t="s">
        <v>151</v>
      </c>
      <c r="E357" s="52"/>
      <c r="F357" s="52"/>
      <c r="G357" s="52"/>
      <c r="H357" s="52"/>
      <c r="I357" s="591">
        <f t="shared" si="136"/>
        <v>0</v>
      </c>
      <c r="J357" s="591">
        <f t="shared" si="137"/>
        <v>0</v>
      </c>
      <c r="K357" s="146"/>
      <c r="L357" s="146"/>
      <c r="M357" s="146"/>
      <c r="N357" s="146"/>
      <c r="O357" s="146"/>
      <c r="P357" s="146"/>
      <c r="Q357" s="146"/>
    </row>
    <row r="358" spans="1:17" s="147" customFormat="1" hidden="1" x14ac:dyDescent="0.25">
      <c r="A358" s="57"/>
      <c r="B358" s="120" t="s">
        <v>152</v>
      </c>
      <c r="C358" s="100"/>
      <c r="D358" s="121" t="s">
        <v>144</v>
      </c>
      <c r="E358" s="52"/>
      <c r="F358" s="52"/>
      <c r="G358" s="52"/>
      <c r="H358" s="52"/>
      <c r="I358" s="591">
        <f t="shared" si="136"/>
        <v>0</v>
      </c>
      <c r="J358" s="591">
        <f t="shared" si="137"/>
        <v>0</v>
      </c>
      <c r="K358" s="146"/>
      <c r="L358" s="146"/>
      <c r="M358" s="146"/>
      <c r="N358" s="146"/>
      <c r="O358" s="146"/>
      <c r="P358" s="146"/>
      <c r="Q358" s="146"/>
    </row>
    <row r="359" spans="1:17" s="147" customFormat="1" hidden="1" x14ac:dyDescent="0.25">
      <c r="A359" s="57"/>
      <c r="B359" s="83">
        <v>34</v>
      </c>
      <c r="C359" s="84"/>
      <c r="D359" s="85" t="s">
        <v>153</v>
      </c>
      <c r="E359" s="109">
        <f>SUM(E360)</f>
        <v>0</v>
      </c>
      <c r="F359" s="109">
        <f>SUM(F360)</f>
        <v>0</v>
      </c>
      <c r="G359" s="109">
        <f>SUM(G360)</f>
        <v>0</v>
      </c>
      <c r="H359" s="109">
        <f t="shared" ref="H359" si="147">SUM(H360)</f>
        <v>0</v>
      </c>
      <c r="I359" s="594">
        <f t="shared" si="136"/>
        <v>0</v>
      </c>
      <c r="J359" s="594">
        <f t="shared" si="137"/>
        <v>0</v>
      </c>
      <c r="K359" s="146"/>
      <c r="L359" s="146"/>
      <c r="M359" s="146"/>
      <c r="N359" s="146"/>
      <c r="O359" s="146"/>
      <c r="P359" s="146"/>
      <c r="Q359" s="146"/>
    </row>
    <row r="360" spans="1:17" s="147" customFormat="1" hidden="1" x14ac:dyDescent="0.25">
      <c r="A360" s="57"/>
      <c r="B360" s="99">
        <v>343</v>
      </c>
      <c r="C360" s="100"/>
      <c r="D360" s="101" t="s">
        <v>154</v>
      </c>
      <c r="E360" s="52">
        <f>SUM(E361:E364)</f>
        <v>0</v>
      </c>
      <c r="F360" s="52">
        <f>SUM(F361:F364)</f>
        <v>0</v>
      </c>
      <c r="G360" s="52">
        <f>SUM(G361:G364)</f>
        <v>0</v>
      </c>
      <c r="H360" s="52">
        <f t="shared" ref="H360" si="148">SUM(H361:H364)</f>
        <v>0</v>
      </c>
      <c r="I360" s="591">
        <f t="shared" si="136"/>
        <v>0</v>
      </c>
      <c r="J360" s="591">
        <f t="shared" si="137"/>
        <v>0</v>
      </c>
      <c r="K360" s="146"/>
      <c r="L360" s="146"/>
      <c r="M360" s="146"/>
      <c r="N360" s="146"/>
      <c r="O360" s="146"/>
      <c r="P360" s="146"/>
      <c r="Q360" s="146"/>
    </row>
    <row r="361" spans="1:17" s="59" customFormat="1" hidden="1" x14ac:dyDescent="0.25">
      <c r="A361" s="57"/>
      <c r="B361" s="102" t="s">
        <v>155</v>
      </c>
      <c r="C361" s="103"/>
      <c r="D361" s="104" t="s">
        <v>156</v>
      </c>
      <c r="E361" s="89"/>
      <c r="F361" s="89"/>
      <c r="G361" s="89"/>
      <c r="H361" s="89"/>
      <c r="I361" s="585">
        <f t="shared" si="136"/>
        <v>0</v>
      </c>
      <c r="J361" s="585">
        <f t="shared" si="137"/>
        <v>0</v>
      </c>
      <c r="K361" s="148"/>
      <c r="L361" s="148"/>
      <c r="M361" s="148"/>
      <c r="N361" s="148"/>
      <c r="O361" s="148"/>
      <c r="P361" s="148"/>
      <c r="Q361" s="148"/>
    </row>
    <row r="362" spans="1:17" s="59" customFormat="1" hidden="1" x14ac:dyDescent="0.25">
      <c r="A362" s="57"/>
      <c r="B362" s="102">
        <v>3432</v>
      </c>
      <c r="C362" s="103"/>
      <c r="D362" s="104" t="s">
        <v>205</v>
      </c>
      <c r="E362" s="89"/>
      <c r="F362" s="89"/>
      <c r="G362" s="89"/>
      <c r="H362" s="89"/>
      <c r="I362" s="585">
        <f t="shared" si="136"/>
        <v>0</v>
      </c>
      <c r="J362" s="585">
        <f t="shared" si="137"/>
        <v>0</v>
      </c>
      <c r="K362" s="148"/>
      <c r="L362" s="148"/>
      <c r="M362" s="148"/>
      <c r="N362" s="148"/>
      <c r="O362" s="148"/>
      <c r="P362" s="148"/>
      <c r="Q362" s="148"/>
    </row>
    <row r="363" spans="1:17" s="143" customFormat="1" hidden="1" x14ac:dyDescent="0.25">
      <c r="A363" s="57"/>
      <c r="B363" s="122">
        <v>3433</v>
      </c>
      <c r="C363" s="103"/>
      <c r="D363" s="123" t="s">
        <v>157</v>
      </c>
      <c r="E363" s="89"/>
      <c r="F363" s="89"/>
      <c r="G363" s="89"/>
      <c r="H363" s="89"/>
      <c r="I363" s="585">
        <f t="shared" si="136"/>
        <v>0</v>
      </c>
      <c r="J363" s="585">
        <f t="shared" si="137"/>
        <v>0</v>
      </c>
      <c r="K363" s="142"/>
      <c r="L363" s="142"/>
      <c r="M363" s="142"/>
      <c r="N363" s="142"/>
      <c r="O363" s="142"/>
      <c r="P363" s="142"/>
      <c r="Q363" s="142"/>
    </row>
    <row r="364" spans="1:17" s="143" customFormat="1" hidden="1" x14ac:dyDescent="0.25">
      <c r="A364" s="57"/>
      <c r="B364" s="122">
        <v>3434</v>
      </c>
      <c r="C364" s="103"/>
      <c r="D364" s="123" t="s">
        <v>158</v>
      </c>
      <c r="E364" s="89"/>
      <c r="F364" s="89"/>
      <c r="G364" s="89"/>
      <c r="H364" s="89"/>
      <c r="I364" s="585">
        <f t="shared" si="136"/>
        <v>0</v>
      </c>
      <c r="J364" s="585">
        <f t="shared" si="137"/>
        <v>0</v>
      </c>
      <c r="K364" s="142"/>
      <c r="L364" s="142"/>
      <c r="M364" s="142"/>
      <c r="N364" s="142"/>
      <c r="O364" s="142"/>
      <c r="P364" s="142"/>
      <c r="Q364" s="142"/>
    </row>
    <row r="365" spans="1:17" s="152" customFormat="1" hidden="1" x14ac:dyDescent="0.2">
      <c r="A365" s="57"/>
      <c r="B365" s="124">
        <v>37</v>
      </c>
      <c r="C365" s="84"/>
      <c r="D365" s="149" t="s">
        <v>162</v>
      </c>
      <c r="E365" s="150">
        <f t="shared" ref="E365:H366" si="149">SUM(E366)</f>
        <v>0</v>
      </c>
      <c r="F365" s="150">
        <f t="shared" si="149"/>
        <v>0</v>
      </c>
      <c r="G365" s="150">
        <f t="shared" si="149"/>
        <v>0</v>
      </c>
      <c r="H365" s="150">
        <f t="shared" si="149"/>
        <v>0</v>
      </c>
      <c r="I365" s="610">
        <f t="shared" si="136"/>
        <v>0</v>
      </c>
      <c r="J365" s="610">
        <f t="shared" si="137"/>
        <v>0</v>
      </c>
      <c r="K365" s="151"/>
      <c r="L365" s="151"/>
      <c r="M365" s="151"/>
      <c r="N365" s="151"/>
      <c r="O365" s="151"/>
      <c r="P365" s="151"/>
      <c r="Q365" s="151"/>
    </row>
    <row r="366" spans="1:17" s="152" customFormat="1" hidden="1" x14ac:dyDescent="0.2">
      <c r="A366" s="57"/>
      <c r="B366" s="120">
        <v>372</v>
      </c>
      <c r="C366" s="82"/>
      <c r="D366" s="129" t="s">
        <v>163</v>
      </c>
      <c r="E366" s="153">
        <f t="shared" si="149"/>
        <v>0</v>
      </c>
      <c r="F366" s="153">
        <f t="shared" si="149"/>
        <v>0</v>
      </c>
      <c r="G366" s="153">
        <f t="shared" si="149"/>
        <v>0</v>
      </c>
      <c r="H366" s="153">
        <f t="shared" si="149"/>
        <v>0</v>
      </c>
      <c r="I366" s="611">
        <f t="shared" si="136"/>
        <v>0</v>
      </c>
      <c r="J366" s="611">
        <f t="shared" si="137"/>
        <v>0</v>
      </c>
      <c r="K366" s="151"/>
      <c r="L366" s="151"/>
      <c r="M366" s="151"/>
      <c r="N366" s="151"/>
      <c r="O366" s="151"/>
      <c r="P366" s="151"/>
      <c r="Q366" s="151"/>
    </row>
    <row r="367" spans="1:17" s="158" customFormat="1" ht="15.75" hidden="1" x14ac:dyDescent="0.25">
      <c r="A367" s="154"/>
      <c r="B367" s="155">
        <v>3721</v>
      </c>
      <c r="C367" s="154"/>
      <c r="D367" s="156" t="s">
        <v>164</v>
      </c>
      <c r="E367" s="157"/>
      <c r="F367" s="157"/>
      <c r="G367" s="157"/>
      <c r="H367" s="157"/>
      <c r="I367" s="612">
        <f t="shared" si="136"/>
        <v>0</v>
      </c>
      <c r="J367" s="612">
        <f t="shared" si="137"/>
        <v>0</v>
      </c>
    </row>
    <row r="368" spans="1:17" hidden="1" x14ac:dyDescent="0.25">
      <c r="A368" s="57"/>
      <c r="B368" s="83" t="s">
        <v>165</v>
      </c>
      <c r="C368" s="84"/>
      <c r="D368" s="85" t="s">
        <v>98</v>
      </c>
      <c r="E368" s="109">
        <f>E371+E369</f>
        <v>0</v>
      </c>
      <c r="F368" s="109">
        <f>F371+F369</f>
        <v>0</v>
      </c>
      <c r="G368" s="109">
        <f>G371+G369</f>
        <v>0</v>
      </c>
      <c r="H368" s="109">
        <f t="shared" ref="H368" si="150">H371+H369</f>
        <v>0</v>
      </c>
      <c r="I368" s="594">
        <f t="shared" si="136"/>
        <v>0</v>
      </c>
      <c r="J368" s="594">
        <f t="shared" si="137"/>
        <v>0</v>
      </c>
      <c r="K368" s="64"/>
      <c r="L368" s="159"/>
    </row>
    <row r="369" spans="1:12" hidden="1" x14ac:dyDescent="0.25">
      <c r="A369" s="57"/>
      <c r="B369" s="87" t="s">
        <v>166</v>
      </c>
      <c r="C369" s="82"/>
      <c r="D369" s="95" t="s">
        <v>68</v>
      </c>
      <c r="E369" s="52">
        <f>SUM(E370)</f>
        <v>0</v>
      </c>
      <c r="F369" s="52">
        <f>SUM(F370)</f>
        <v>0</v>
      </c>
      <c r="G369" s="52">
        <f>SUM(G370)</f>
        <v>0</v>
      </c>
      <c r="H369" s="52">
        <f t="shared" ref="H369" si="151">SUM(H370)</f>
        <v>0</v>
      </c>
      <c r="I369" s="591">
        <f t="shared" si="136"/>
        <v>0</v>
      </c>
      <c r="J369" s="591">
        <f t="shared" si="137"/>
        <v>0</v>
      </c>
      <c r="K369" s="64"/>
      <c r="L369" s="159"/>
    </row>
    <row r="370" spans="1:12" hidden="1" x14ac:dyDescent="0.25">
      <c r="A370" s="57"/>
      <c r="B370" s="88" t="s">
        <v>168</v>
      </c>
      <c r="C370" s="57"/>
      <c r="D370" s="96" t="s">
        <v>167</v>
      </c>
      <c r="E370" s="89"/>
      <c r="F370" s="89"/>
      <c r="G370" s="89"/>
      <c r="H370" s="89"/>
      <c r="I370" s="585">
        <f t="shared" si="136"/>
        <v>0</v>
      </c>
      <c r="J370" s="585">
        <f t="shared" si="137"/>
        <v>0</v>
      </c>
      <c r="K370" s="64"/>
      <c r="L370" s="159"/>
    </row>
    <row r="371" spans="1:12" hidden="1" x14ac:dyDescent="0.25">
      <c r="A371" s="57"/>
      <c r="B371" s="120">
        <v>383</v>
      </c>
      <c r="C371" s="100"/>
      <c r="D371" s="121" t="s">
        <v>169</v>
      </c>
      <c r="E371" s="52">
        <f>SUM(E372:E373)</f>
        <v>0</v>
      </c>
      <c r="F371" s="52">
        <f>SUM(F372:F373)</f>
        <v>0</v>
      </c>
      <c r="G371" s="52">
        <f>SUM(G372:G373)</f>
        <v>0</v>
      </c>
      <c r="H371" s="52">
        <f t="shared" ref="H371" si="152">SUM(H372:H373)</f>
        <v>0</v>
      </c>
      <c r="I371" s="591">
        <f t="shared" si="136"/>
        <v>0</v>
      </c>
      <c r="J371" s="591">
        <f t="shared" si="137"/>
        <v>0</v>
      </c>
      <c r="L371" s="64"/>
    </row>
    <row r="372" spans="1:12" hidden="1" x14ac:dyDescent="0.25">
      <c r="A372" s="57"/>
      <c r="B372" s="122">
        <v>3834</v>
      </c>
      <c r="C372" s="103"/>
      <c r="D372" s="123" t="s">
        <v>172</v>
      </c>
      <c r="E372" s="89"/>
      <c r="F372" s="89"/>
      <c r="G372" s="89"/>
      <c r="H372" s="89"/>
      <c r="I372" s="585">
        <f t="shared" si="136"/>
        <v>0</v>
      </c>
      <c r="J372" s="585">
        <f t="shared" si="137"/>
        <v>0</v>
      </c>
    </row>
    <row r="373" spans="1:12" hidden="1" x14ac:dyDescent="0.25">
      <c r="A373" s="57"/>
      <c r="B373" s="122">
        <v>3835</v>
      </c>
      <c r="C373" s="103"/>
      <c r="D373" s="123" t="s">
        <v>173</v>
      </c>
      <c r="E373" s="89"/>
      <c r="F373" s="89"/>
      <c r="G373" s="89"/>
      <c r="H373" s="89"/>
      <c r="I373" s="585">
        <f t="shared" si="136"/>
        <v>0</v>
      </c>
      <c r="J373" s="585">
        <f t="shared" si="137"/>
        <v>0</v>
      </c>
    </row>
    <row r="374" spans="1:12" hidden="1" x14ac:dyDescent="0.25">
      <c r="A374" s="130">
        <v>4</v>
      </c>
      <c r="B374" s="106"/>
      <c r="C374" s="131"/>
      <c r="D374" s="132" t="s">
        <v>174</v>
      </c>
      <c r="E374" s="108">
        <f>E375+E378</f>
        <v>0</v>
      </c>
      <c r="F374" s="108">
        <f>F375+F378</f>
        <v>0</v>
      </c>
      <c r="G374" s="108">
        <f>G375+G378</f>
        <v>0</v>
      </c>
      <c r="H374" s="108">
        <f t="shared" ref="H374" si="153">H375+H378</f>
        <v>0</v>
      </c>
      <c r="I374" s="598">
        <f t="shared" si="136"/>
        <v>0</v>
      </c>
      <c r="J374" s="598">
        <f t="shared" si="137"/>
        <v>0</v>
      </c>
    </row>
    <row r="375" spans="1:12" hidden="1" x14ac:dyDescent="0.25">
      <c r="A375" s="133"/>
      <c r="B375" s="83" t="s">
        <v>175</v>
      </c>
      <c r="C375" s="84"/>
      <c r="D375" s="111" t="s">
        <v>176</v>
      </c>
      <c r="E375" s="109">
        <f t="shared" ref="E375:H376" si="154">SUM(E376)</f>
        <v>0</v>
      </c>
      <c r="F375" s="109">
        <f t="shared" si="154"/>
        <v>0</v>
      </c>
      <c r="G375" s="109">
        <f t="shared" si="154"/>
        <v>0</v>
      </c>
      <c r="H375" s="109">
        <f t="shared" si="154"/>
        <v>0</v>
      </c>
      <c r="I375" s="594">
        <f t="shared" si="136"/>
        <v>0</v>
      </c>
      <c r="J375" s="594">
        <f t="shared" si="137"/>
        <v>0</v>
      </c>
    </row>
    <row r="376" spans="1:12" hidden="1" x14ac:dyDescent="0.25">
      <c r="A376" s="133"/>
      <c r="B376" s="99">
        <v>412</v>
      </c>
      <c r="C376" s="92"/>
      <c r="D376" s="54" t="s">
        <v>181</v>
      </c>
      <c r="E376" s="52">
        <f t="shared" si="154"/>
        <v>0</v>
      </c>
      <c r="F376" s="52">
        <f t="shared" si="154"/>
        <v>0</v>
      </c>
      <c r="G376" s="52">
        <f t="shared" si="154"/>
        <v>0</v>
      </c>
      <c r="H376" s="52">
        <f t="shared" si="154"/>
        <v>0</v>
      </c>
      <c r="I376" s="591">
        <f t="shared" si="136"/>
        <v>0</v>
      </c>
      <c r="J376" s="591">
        <f t="shared" si="137"/>
        <v>0</v>
      </c>
    </row>
    <row r="377" spans="1:12" hidden="1" x14ac:dyDescent="0.25">
      <c r="A377" s="110"/>
      <c r="B377" s="102">
        <v>4123</v>
      </c>
      <c r="C377" s="94"/>
      <c r="D377" s="55" t="s">
        <v>182</v>
      </c>
      <c r="E377" s="89"/>
      <c r="F377" s="89"/>
      <c r="G377" s="89"/>
      <c r="H377" s="89"/>
      <c r="I377" s="585">
        <f t="shared" si="136"/>
        <v>0</v>
      </c>
      <c r="J377" s="585">
        <f t="shared" si="137"/>
        <v>0</v>
      </c>
    </row>
    <row r="378" spans="1:12" hidden="1" x14ac:dyDescent="0.25">
      <c r="A378" s="57"/>
      <c r="B378" s="83">
        <v>42</v>
      </c>
      <c r="C378" s="84"/>
      <c r="D378" s="85" t="s">
        <v>183</v>
      </c>
      <c r="E378" s="109">
        <f>SUM(E379,E381,E391,E393)</f>
        <v>0</v>
      </c>
      <c r="F378" s="109">
        <f>SUM(F379,F381,F391,F393)</f>
        <v>0</v>
      </c>
      <c r="G378" s="109">
        <f>SUM(G379,G381,G391,G393)</f>
        <v>0</v>
      </c>
      <c r="H378" s="109">
        <f t="shared" ref="H378" si="155">SUM(H379,H381,H391,H393)</f>
        <v>0</v>
      </c>
      <c r="I378" s="594">
        <f t="shared" si="136"/>
        <v>0</v>
      </c>
      <c r="J378" s="594">
        <f t="shared" si="137"/>
        <v>0</v>
      </c>
    </row>
    <row r="379" spans="1:12" hidden="1" x14ac:dyDescent="0.25">
      <c r="A379" s="57"/>
      <c r="B379" s="87" t="s">
        <v>206</v>
      </c>
      <c r="C379" s="82"/>
      <c r="D379" s="95" t="s">
        <v>207</v>
      </c>
      <c r="E379" s="52">
        <f>SUM(E380)</f>
        <v>0</v>
      </c>
      <c r="F379" s="52">
        <f>SUM(F380)</f>
        <v>0</v>
      </c>
      <c r="G379" s="52">
        <f>SUM(G380)</f>
        <v>0</v>
      </c>
      <c r="H379" s="52">
        <f t="shared" ref="H379" si="156">SUM(H380)</f>
        <v>0</v>
      </c>
      <c r="I379" s="591">
        <f t="shared" si="136"/>
        <v>0</v>
      </c>
      <c r="J379" s="591">
        <f t="shared" si="137"/>
        <v>0</v>
      </c>
    </row>
    <row r="380" spans="1:12" hidden="1" x14ac:dyDescent="0.25">
      <c r="A380" s="57"/>
      <c r="B380" s="88" t="s">
        <v>208</v>
      </c>
      <c r="C380" s="57"/>
      <c r="D380" s="96" t="s">
        <v>209</v>
      </c>
      <c r="E380" s="89"/>
      <c r="F380" s="89"/>
      <c r="G380" s="89"/>
      <c r="H380" s="89"/>
      <c r="I380" s="585">
        <f t="shared" si="136"/>
        <v>0</v>
      </c>
      <c r="J380" s="585">
        <f t="shared" si="137"/>
        <v>0</v>
      </c>
    </row>
    <row r="381" spans="1:12" hidden="1" x14ac:dyDescent="0.25">
      <c r="A381" s="57"/>
      <c r="B381" s="87">
        <v>422</v>
      </c>
      <c r="C381" s="57"/>
      <c r="D381" s="82" t="s">
        <v>184</v>
      </c>
      <c r="E381" s="52">
        <f>E382+E385+E389</f>
        <v>0</v>
      </c>
      <c r="F381" s="52">
        <f>F382+F385+F389</f>
        <v>0</v>
      </c>
      <c r="G381" s="52">
        <f>G382+G385+G389</f>
        <v>0</v>
      </c>
      <c r="H381" s="52">
        <f t="shared" ref="H381" si="157">H382+H385+H389</f>
        <v>0</v>
      </c>
      <c r="I381" s="591">
        <f t="shared" si="136"/>
        <v>0</v>
      </c>
      <c r="J381" s="591">
        <f t="shared" si="137"/>
        <v>0</v>
      </c>
    </row>
    <row r="382" spans="1:12" hidden="1" x14ac:dyDescent="0.25">
      <c r="A382" s="57"/>
      <c r="B382" s="87" t="s">
        <v>185</v>
      </c>
      <c r="C382" s="82"/>
      <c r="D382" s="82" t="s">
        <v>186</v>
      </c>
      <c r="E382" s="52">
        <f>SUM(E383)</f>
        <v>0</v>
      </c>
      <c r="F382" s="52">
        <f>SUM(F383)</f>
        <v>0</v>
      </c>
      <c r="G382" s="52">
        <f>SUM(G383)</f>
        <v>0</v>
      </c>
      <c r="H382" s="52">
        <f t="shared" ref="H382" si="158">SUM(H383)</f>
        <v>0</v>
      </c>
      <c r="I382" s="591">
        <f t="shared" si="136"/>
        <v>0</v>
      </c>
      <c r="J382" s="591">
        <f t="shared" si="137"/>
        <v>0</v>
      </c>
    </row>
    <row r="383" spans="1:12" hidden="1" x14ac:dyDescent="0.25">
      <c r="A383" s="57"/>
      <c r="B383" s="88" t="s">
        <v>507</v>
      </c>
      <c r="C383" s="57"/>
      <c r="D383" s="57" t="s">
        <v>445</v>
      </c>
      <c r="E383" s="89">
        <f>'Rekapitulacija Posebni dio'!C713</f>
        <v>0</v>
      </c>
      <c r="F383" s="89">
        <f>'Rekapitulacija Posebni dio'!D713</f>
        <v>0</v>
      </c>
      <c r="G383" s="89">
        <f>'Rekapitulacija Posebni dio'!E713</f>
        <v>0</v>
      </c>
      <c r="H383" s="89">
        <f>'Rekapitulacija Posebni dio'!F713</f>
        <v>0</v>
      </c>
      <c r="I383" s="585">
        <f t="shared" si="136"/>
        <v>0</v>
      </c>
      <c r="J383" s="585">
        <f t="shared" si="137"/>
        <v>0</v>
      </c>
    </row>
    <row r="384" spans="1:12" hidden="1" x14ac:dyDescent="0.25">
      <c r="A384" s="57"/>
      <c r="B384" s="88" t="s">
        <v>187</v>
      </c>
      <c r="C384" s="57"/>
      <c r="D384" s="57" t="s">
        <v>188</v>
      </c>
      <c r="E384" s="89"/>
      <c r="F384" s="89"/>
      <c r="G384" s="89"/>
      <c r="H384" s="89"/>
      <c r="I384" s="585">
        <f t="shared" si="136"/>
        <v>0</v>
      </c>
      <c r="J384" s="585">
        <f t="shared" si="137"/>
        <v>0</v>
      </c>
    </row>
    <row r="385" spans="1:10" hidden="1" x14ac:dyDescent="0.25">
      <c r="A385" s="57"/>
      <c r="B385" s="99">
        <v>4223</v>
      </c>
      <c r="C385" s="92"/>
      <c r="D385" s="54" t="s">
        <v>189</v>
      </c>
      <c r="E385" s="52">
        <f>SUM(E386)</f>
        <v>0</v>
      </c>
      <c r="F385" s="52">
        <f>SUM(F386)</f>
        <v>0</v>
      </c>
      <c r="G385" s="52">
        <f>SUM(G386)</f>
        <v>0</v>
      </c>
      <c r="H385" s="52">
        <f t="shared" ref="H385" si="159">SUM(H386)</f>
        <v>0</v>
      </c>
      <c r="I385" s="591">
        <f t="shared" si="136"/>
        <v>0</v>
      </c>
      <c r="J385" s="591">
        <f t="shared" si="137"/>
        <v>0</v>
      </c>
    </row>
    <row r="386" spans="1:10" hidden="1" x14ac:dyDescent="0.25">
      <c r="A386" s="110"/>
      <c r="B386" s="102">
        <v>42231</v>
      </c>
      <c r="C386" s="94"/>
      <c r="D386" s="55" t="s">
        <v>448</v>
      </c>
      <c r="E386" s="89">
        <f>'Rekapitulacija Posebni dio'!C715</f>
        <v>0</v>
      </c>
      <c r="F386" s="89">
        <f>'Rekapitulacija Posebni dio'!D715</f>
        <v>0</v>
      </c>
      <c r="G386" s="89">
        <f>'Rekapitulacija Posebni dio'!E715</f>
        <v>0</v>
      </c>
      <c r="H386" s="89">
        <f>'Rekapitulacija Posebni dio'!F715</f>
        <v>0</v>
      </c>
      <c r="I386" s="585">
        <f t="shared" si="136"/>
        <v>0</v>
      </c>
      <c r="J386" s="585">
        <f t="shared" si="137"/>
        <v>0</v>
      </c>
    </row>
    <row r="387" spans="1:10" hidden="1" x14ac:dyDescent="0.25">
      <c r="A387" s="110"/>
      <c r="B387" s="102">
        <v>4224</v>
      </c>
      <c r="C387" s="94"/>
      <c r="D387" s="55" t="s">
        <v>190</v>
      </c>
      <c r="E387" s="89"/>
      <c r="F387" s="89"/>
      <c r="G387" s="89"/>
      <c r="H387" s="89"/>
      <c r="I387" s="585">
        <f t="shared" si="136"/>
        <v>0</v>
      </c>
      <c r="J387" s="585">
        <f t="shared" si="137"/>
        <v>0</v>
      </c>
    </row>
    <row r="388" spans="1:10" hidden="1" x14ac:dyDescent="0.25">
      <c r="A388" s="110"/>
      <c r="B388" s="102">
        <v>4225</v>
      </c>
      <c r="C388" s="94"/>
      <c r="D388" s="55" t="s">
        <v>191</v>
      </c>
      <c r="E388" s="89"/>
      <c r="F388" s="89"/>
      <c r="G388" s="89"/>
      <c r="H388" s="89"/>
      <c r="I388" s="585">
        <f t="shared" si="136"/>
        <v>0</v>
      </c>
      <c r="J388" s="585">
        <f t="shared" si="137"/>
        <v>0</v>
      </c>
    </row>
    <row r="389" spans="1:10" hidden="1" x14ac:dyDescent="0.25">
      <c r="A389" s="110"/>
      <c r="B389" s="99">
        <v>4227</v>
      </c>
      <c r="C389" s="92"/>
      <c r="D389" s="54" t="s">
        <v>192</v>
      </c>
      <c r="E389" s="52">
        <f>SUM(E390)</f>
        <v>0</v>
      </c>
      <c r="F389" s="52">
        <f>SUM(F390)</f>
        <v>0</v>
      </c>
      <c r="G389" s="52">
        <f>SUM(G390)</f>
        <v>0</v>
      </c>
      <c r="H389" s="52">
        <f t="shared" ref="H389" si="160">SUM(H390)</f>
        <v>0</v>
      </c>
      <c r="I389" s="591">
        <f t="shared" si="136"/>
        <v>0</v>
      </c>
      <c r="J389" s="591">
        <f t="shared" si="137"/>
        <v>0</v>
      </c>
    </row>
    <row r="390" spans="1:10" hidden="1" x14ac:dyDescent="0.25">
      <c r="A390" s="110"/>
      <c r="B390" s="102">
        <v>42273</v>
      </c>
      <c r="C390" s="94"/>
      <c r="D390" s="42" t="s">
        <v>192</v>
      </c>
      <c r="E390" s="89">
        <f>'Rekapitulacija Posebni dio'!C717</f>
        <v>0</v>
      </c>
      <c r="F390" s="89">
        <f>'Rekapitulacija Posebni dio'!D717</f>
        <v>0</v>
      </c>
      <c r="G390" s="89">
        <f>'Rekapitulacija Posebni dio'!E717</f>
        <v>0</v>
      </c>
      <c r="H390" s="89">
        <f>'Rekapitulacija Posebni dio'!F717</f>
        <v>0</v>
      </c>
      <c r="I390" s="585">
        <f t="shared" si="136"/>
        <v>0</v>
      </c>
      <c r="J390" s="585">
        <f t="shared" si="137"/>
        <v>0</v>
      </c>
    </row>
    <row r="391" spans="1:10" s="64" customFormat="1" ht="14.25" hidden="1" x14ac:dyDescent="0.25">
      <c r="A391" s="133"/>
      <c r="B391" s="99">
        <v>423</v>
      </c>
      <c r="C391" s="92"/>
      <c r="D391" s="54" t="s">
        <v>193</v>
      </c>
      <c r="E391" s="52">
        <f>E392</f>
        <v>0</v>
      </c>
      <c r="F391" s="52">
        <f>F392</f>
        <v>0</v>
      </c>
      <c r="G391" s="52">
        <f>G392</f>
        <v>0</v>
      </c>
      <c r="H391" s="52">
        <f t="shared" ref="H391" si="161">H392</f>
        <v>0</v>
      </c>
      <c r="I391" s="591">
        <f t="shared" si="136"/>
        <v>0</v>
      </c>
      <c r="J391" s="591">
        <f t="shared" si="137"/>
        <v>0</v>
      </c>
    </row>
    <row r="392" spans="1:10" hidden="1" x14ac:dyDescent="0.25">
      <c r="A392" s="110"/>
      <c r="B392" s="102">
        <v>4231</v>
      </c>
      <c r="C392" s="94"/>
      <c r="D392" s="55" t="s">
        <v>193</v>
      </c>
      <c r="E392" s="89"/>
      <c r="F392" s="89"/>
      <c r="G392" s="89"/>
      <c r="H392" s="89"/>
      <c r="I392" s="585">
        <f t="shared" si="136"/>
        <v>0</v>
      </c>
      <c r="J392" s="585">
        <f t="shared" si="137"/>
        <v>0</v>
      </c>
    </row>
    <row r="393" spans="1:10" hidden="1" x14ac:dyDescent="0.25">
      <c r="A393" s="110"/>
      <c r="B393" s="99">
        <v>426</v>
      </c>
      <c r="C393" s="92"/>
      <c r="D393" s="54" t="s">
        <v>194</v>
      </c>
      <c r="E393" s="52">
        <f>E394</f>
        <v>0</v>
      </c>
      <c r="F393" s="52">
        <f>F394</f>
        <v>0</v>
      </c>
      <c r="G393" s="52">
        <f>G394</f>
        <v>0</v>
      </c>
      <c r="H393" s="52">
        <f t="shared" ref="H393" si="162">H394</f>
        <v>0</v>
      </c>
      <c r="I393" s="591">
        <f t="shared" si="136"/>
        <v>0</v>
      </c>
      <c r="J393" s="591">
        <f t="shared" si="137"/>
        <v>0</v>
      </c>
    </row>
    <row r="394" spans="1:10" hidden="1" x14ac:dyDescent="0.25">
      <c r="A394" s="110"/>
      <c r="B394" s="102">
        <v>4262</v>
      </c>
      <c r="C394" s="94"/>
      <c r="D394" s="55" t="s">
        <v>195</v>
      </c>
      <c r="E394" s="89"/>
      <c r="F394" s="89"/>
      <c r="G394" s="89"/>
      <c r="H394" s="89"/>
      <c r="I394" s="585">
        <f t="shared" ref="I394:I457" si="163">IFERROR(H394/F394*100,H394)</f>
        <v>0</v>
      </c>
      <c r="J394" s="585">
        <f t="shared" ref="J394:J457" si="164">IFERROR(H394/G394*100,H394)</f>
        <v>0</v>
      </c>
    </row>
    <row r="395" spans="1:10" x14ac:dyDescent="0.25">
      <c r="A395" s="136"/>
      <c r="B395" s="137"/>
      <c r="C395" s="160" t="s">
        <v>65</v>
      </c>
      <c r="D395" s="161" t="s">
        <v>210</v>
      </c>
      <c r="E395" s="162">
        <f>E290+E374</f>
        <v>140194.37</v>
      </c>
      <c r="F395" s="162">
        <f>F290+F374</f>
        <v>163116.33000000002</v>
      </c>
      <c r="G395" s="162">
        <f>G290+G374</f>
        <v>163116.33000000002</v>
      </c>
      <c r="H395" s="162">
        <f>H290+H374</f>
        <v>137837.86000000002</v>
      </c>
      <c r="I395" s="613">
        <f t="shared" si="163"/>
        <v>84.502796255899099</v>
      </c>
      <c r="J395" s="613">
        <f t="shared" si="164"/>
        <v>84.502796255899099</v>
      </c>
    </row>
    <row r="396" spans="1:10" x14ac:dyDescent="0.25">
      <c r="A396" s="79" t="s">
        <v>86</v>
      </c>
      <c r="B396" s="79"/>
      <c r="C396" s="80"/>
      <c r="D396" s="72" t="s">
        <v>87</v>
      </c>
      <c r="E396" s="163">
        <f>E397+E411</f>
        <v>34437.620000000003</v>
      </c>
      <c r="F396" s="163">
        <f>F397+F411</f>
        <v>128013.94999999998</v>
      </c>
      <c r="G396" s="163">
        <f>G397+G411</f>
        <v>230923.83000000002</v>
      </c>
      <c r="H396" s="163">
        <f t="shared" ref="H396" si="165">H397+H411</f>
        <v>52697.42</v>
      </c>
      <c r="I396" s="614">
        <f t="shared" si="163"/>
        <v>41.165372992552768</v>
      </c>
      <c r="J396" s="614">
        <f t="shared" si="164"/>
        <v>22.820260689423002</v>
      </c>
    </row>
    <row r="397" spans="1:10" x14ac:dyDescent="0.25">
      <c r="A397" s="82"/>
      <c r="B397" s="83">
        <v>31</v>
      </c>
      <c r="C397" s="84"/>
      <c r="D397" s="85" t="s">
        <v>88</v>
      </c>
      <c r="E397" s="86">
        <f>E398+E404+E408</f>
        <v>32519.7</v>
      </c>
      <c r="F397" s="86">
        <f>F398+F404+F408</f>
        <v>111773.12999999999</v>
      </c>
      <c r="G397" s="86">
        <f>G398+G404+G408</f>
        <v>191319.51</v>
      </c>
      <c r="H397" s="86">
        <f t="shared" ref="H397" si="166">H398+H404+H408</f>
        <v>41522.15</v>
      </c>
      <c r="I397" s="587">
        <f t="shared" si="163"/>
        <v>37.148597341776153</v>
      </c>
      <c r="J397" s="587">
        <f t="shared" si="164"/>
        <v>21.70304011336847</v>
      </c>
    </row>
    <row r="398" spans="1:10" x14ac:dyDescent="0.25">
      <c r="A398" s="82"/>
      <c r="B398" s="87">
        <v>311</v>
      </c>
      <c r="C398" s="57"/>
      <c r="D398" s="82" t="s">
        <v>89</v>
      </c>
      <c r="E398" s="93">
        <f>E399+E402</f>
        <v>31919.7</v>
      </c>
      <c r="F398" s="93">
        <f>F399+F402</f>
        <v>96362.84</v>
      </c>
      <c r="G398" s="93">
        <f>G399+G402</f>
        <v>160988.07</v>
      </c>
      <c r="H398" s="93">
        <f t="shared" ref="H398" si="167">H399+H402</f>
        <v>40622.15</v>
      </c>
      <c r="I398" s="607">
        <f t="shared" si="163"/>
        <v>42.155409699423558</v>
      </c>
      <c r="J398" s="607">
        <f t="shared" si="164"/>
        <v>25.23301881934481</v>
      </c>
    </row>
    <row r="399" spans="1:10" x14ac:dyDescent="0.25">
      <c r="A399" s="82"/>
      <c r="B399" s="87">
        <v>3111</v>
      </c>
      <c r="C399" s="82"/>
      <c r="D399" s="82" t="s">
        <v>90</v>
      </c>
      <c r="E399" s="93">
        <f>SUM(E400)</f>
        <v>31919.7</v>
      </c>
      <c r="F399" s="93">
        <f>SUM(F400)</f>
        <v>96362.84</v>
      </c>
      <c r="G399" s="93">
        <f>SUM(G400)</f>
        <v>160988.07</v>
      </c>
      <c r="H399" s="93">
        <f t="shared" ref="H399" si="168">SUM(H400)</f>
        <v>40622.15</v>
      </c>
      <c r="I399" s="607">
        <f t="shared" si="163"/>
        <v>42.155409699423558</v>
      </c>
      <c r="J399" s="607">
        <f t="shared" si="164"/>
        <v>25.23301881934481</v>
      </c>
    </row>
    <row r="400" spans="1:10" x14ac:dyDescent="0.25">
      <c r="A400" s="82"/>
      <c r="B400" s="88" t="s">
        <v>465</v>
      </c>
      <c r="C400" s="57"/>
      <c r="D400" s="57" t="s">
        <v>90</v>
      </c>
      <c r="E400" s="141">
        <f>'Rekapitulacija Posebni dio'!C303+'Rekapitulacija Posebni dio'!C615+'Rekapitulacija Posebni dio'!C644+'Rekapitulacija Posebni dio'!C724</f>
        <v>31919.7</v>
      </c>
      <c r="F400" s="141">
        <f>'Rekapitulacija Posebni dio'!D303+'Rekapitulacija Posebni dio'!D615+'Rekapitulacija Posebni dio'!D644+'Rekapitulacija Posebni dio'!D724</f>
        <v>96362.84</v>
      </c>
      <c r="G400" s="141">
        <f>'Rekapitulacija Posebni dio'!E303+'Rekapitulacija Posebni dio'!E615+'Rekapitulacija Posebni dio'!E644+'Rekapitulacija Posebni dio'!E724</f>
        <v>160988.07</v>
      </c>
      <c r="H400" s="141">
        <f>'Rekapitulacija Posebni dio'!F303+'Rekapitulacija Posebni dio'!F615+'Rekapitulacija Posebni dio'!F644+'Rekapitulacija Posebni dio'!F724</f>
        <v>40622.15</v>
      </c>
      <c r="I400" s="609">
        <f t="shared" si="163"/>
        <v>42.155409699423558</v>
      </c>
      <c r="J400" s="609">
        <f t="shared" si="164"/>
        <v>25.23301881934481</v>
      </c>
    </row>
    <row r="401" spans="1:10" hidden="1" x14ac:dyDescent="0.25">
      <c r="A401" s="82"/>
      <c r="B401" s="88" t="s">
        <v>93</v>
      </c>
      <c r="C401" s="57"/>
      <c r="D401" s="57" t="s">
        <v>94</v>
      </c>
      <c r="E401" s="141"/>
      <c r="F401" s="141"/>
      <c r="G401" s="141"/>
      <c r="H401" s="141"/>
      <c r="I401" s="609">
        <f t="shared" si="163"/>
        <v>0</v>
      </c>
      <c r="J401" s="609">
        <f t="shared" si="164"/>
        <v>0</v>
      </c>
    </row>
    <row r="402" spans="1:10" hidden="1" x14ac:dyDescent="0.25">
      <c r="A402" s="82"/>
      <c r="B402" s="87" t="s">
        <v>95</v>
      </c>
      <c r="C402" s="82"/>
      <c r="D402" s="82" t="s">
        <v>211</v>
      </c>
      <c r="E402" s="93">
        <f>SUM(E403)</f>
        <v>0</v>
      </c>
      <c r="F402" s="93">
        <f>SUM(F403)</f>
        <v>0</v>
      </c>
      <c r="G402" s="93">
        <f>SUM(G403)</f>
        <v>0</v>
      </c>
      <c r="H402" s="93">
        <f t="shared" ref="H402" si="169">SUM(H403)</f>
        <v>0</v>
      </c>
      <c r="I402" s="607">
        <f t="shared" si="163"/>
        <v>0</v>
      </c>
      <c r="J402" s="607">
        <f t="shared" si="164"/>
        <v>0</v>
      </c>
    </row>
    <row r="403" spans="1:10" hidden="1" x14ac:dyDescent="0.25">
      <c r="A403" s="82"/>
      <c r="B403" s="88" t="s">
        <v>468</v>
      </c>
      <c r="C403" s="57"/>
      <c r="D403" s="57" t="s">
        <v>211</v>
      </c>
      <c r="E403" s="141">
        <f>'Rekapitulacija Posebni dio'!C677</f>
        <v>0</v>
      </c>
      <c r="F403" s="141">
        <f>'Rekapitulacija Posebni dio'!D677</f>
        <v>0</v>
      </c>
      <c r="G403" s="141">
        <f>'Rekapitulacija Posebni dio'!E677</f>
        <v>0</v>
      </c>
      <c r="H403" s="141">
        <f>'Rekapitulacija Posebni dio'!F677</f>
        <v>0</v>
      </c>
      <c r="I403" s="609">
        <f t="shared" si="163"/>
        <v>0</v>
      </c>
      <c r="J403" s="609">
        <f t="shared" si="164"/>
        <v>0</v>
      </c>
    </row>
    <row r="404" spans="1:10" x14ac:dyDescent="0.25">
      <c r="A404" s="82"/>
      <c r="B404" s="87" t="s">
        <v>97</v>
      </c>
      <c r="C404" s="82"/>
      <c r="D404" s="82" t="s">
        <v>98</v>
      </c>
      <c r="E404" s="93">
        <f>E405</f>
        <v>600</v>
      </c>
      <c r="F404" s="93">
        <f>F405</f>
        <v>995.42</v>
      </c>
      <c r="G404" s="93">
        <f>G405</f>
        <v>2395.42</v>
      </c>
      <c r="H404" s="93">
        <f t="shared" ref="H404" si="170">H405</f>
        <v>900</v>
      </c>
      <c r="I404" s="607">
        <f t="shared" si="163"/>
        <v>90.414096562255125</v>
      </c>
      <c r="J404" s="607">
        <f t="shared" si="164"/>
        <v>37.571699326214194</v>
      </c>
    </row>
    <row r="405" spans="1:10" x14ac:dyDescent="0.25">
      <c r="A405" s="82"/>
      <c r="B405" s="87" t="s">
        <v>99</v>
      </c>
      <c r="C405" s="82"/>
      <c r="D405" s="82" t="s">
        <v>98</v>
      </c>
      <c r="E405" s="93">
        <f>SUM(E406:E407)</f>
        <v>600</v>
      </c>
      <c r="F405" s="93">
        <f>SUM(F406:F407)</f>
        <v>995.42</v>
      </c>
      <c r="G405" s="93">
        <f>SUM(G406:G407)</f>
        <v>2395.42</v>
      </c>
      <c r="H405" s="93">
        <f t="shared" ref="H405" si="171">SUM(H406:H407)</f>
        <v>900</v>
      </c>
      <c r="I405" s="607">
        <f t="shared" si="163"/>
        <v>90.414096562255125</v>
      </c>
      <c r="J405" s="607">
        <f t="shared" si="164"/>
        <v>37.571699326214194</v>
      </c>
    </row>
    <row r="406" spans="1:10" x14ac:dyDescent="0.25">
      <c r="A406" s="82"/>
      <c r="B406" s="88" t="s">
        <v>473</v>
      </c>
      <c r="C406" s="57"/>
      <c r="D406" s="57" t="s">
        <v>386</v>
      </c>
      <c r="E406" s="141">
        <f>'Rekapitulacija Posebni dio'!C618+'Rekapitulacija Posebni dio'!C647</f>
        <v>300</v>
      </c>
      <c r="F406" s="141">
        <f>'Rekapitulacija Posebni dio'!D618+'Rekapitulacija Posebni dio'!D647</f>
        <v>300</v>
      </c>
      <c r="G406" s="141">
        <f>'Rekapitulacija Posebni dio'!E618+'Rekapitulacija Posebni dio'!E647</f>
        <v>900</v>
      </c>
      <c r="H406" s="141">
        <f>'Rekapitulacija Posebni dio'!F618+'Rekapitulacija Posebni dio'!F647</f>
        <v>0</v>
      </c>
      <c r="I406" s="609">
        <f t="shared" si="163"/>
        <v>0</v>
      </c>
      <c r="J406" s="609">
        <f t="shared" si="164"/>
        <v>0</v>
      </c>
    </row>
    <row r="407" spans="1:10" x14ac:dyDescent="0.25">
      <c r="A407" s="82"/>
      <c r="B407" s="88" t="s">
        <v>474</v>
      </c>
      <c r="C407" s="57"/>
      <c r="D407" s="57" t="s">
        <v>381</v>
      </c>
      <c r="E407" s="141">
        <f>'Rekapitulacija Posebni dio'!C619+'Rekapitulacija Posebni dio'!C648</f>
        <v>300</v>
      </c>
      <c r="F407" s="141">
        <f>'Rekapitulacija Posebni dio'!D619+'Rekapitulacija Posebni dio'!D648</f>
        <v>695.42</v>
      </c>
      <c r="G407" s="141">
        <f>'Rekapitulacija Posebni dio'!E619+'Rekapitulacija Posebni dio'!E648</f>
        <v>1495.42</v>
      </c>
      <c r="H407" s="141">
        <f>'Rekapitulacija Posebni dio'!F619+'Rekapitulacija Posebni dio'!F648</f>
        <v>900</v>
      </c>
      <c r="I407" s="609">
        <f t="shared" si="163"/>
        <v>129.41819332202124</v>
      </c>
      <c r="J407" s="609">
        <f t="shared" si="164"/>
        <v>60.183761083842668</v>
      </c>
    </row>
    <row r="408" spans="1:10" x14ac:dyDescent="0.25">
      <c r="A408" s="82"/>
      <c r="B408" s="87" t="s">
        <v>212</v>
      </c>
      <c r="C408" s="82"/>
      <c r="D408" s="82" t="s">
        <v>100</v>
      </c>
      <c r="E408" s="164">
        <f t="shared" ref="E408:G409" si="172">SUM(E409)</f>
        <v>0</v>
      </c>
      <c r="F408" s="164">
        <f t="shared" si="172"/>
        <v>14414.869999999999</v>
      </c>
      <c r="G408" s="164">
        <f t="shared" si="172"/>
        <v>27936.019999999997</v>
      </c>
      <c r="H408" s="164">
        <f t="shared" ref="H408" si="173">SUM(H410)</f>
        <v>0</v>
      </c>
      <c r="I408" s="615">
        <f t="shared" si="163"/>
        <v>0</v>
      </c>
      <c r="J408" s="615">
        <f t="shared" si="164"/>
        <v>0</v>
      </c>
    </row>
    <row r="409" spans="1:10" x14ac:dyDescent="0.25">
      <c r="A409" s="82"/>
      <c r="B409" s="87" t="s">
        <v>213</v>
      </c>
      <c r="C409" s="82"/>
      <c r="D409" s="82" t="s">
        <v>214</v>
      </c>
      <c r="E409" s="164">
        <f t="shared" si="172"/>
        <v>0</v>
      </c>
      <c r="F409" s="164">
        <f t="shared" si="172"/>
        <v>14414.869999999999</v>
      </c>
      <c r="G409" s="164">
        <f t="shared" si="172"/>
        <v>27936.019999999997</v>
      </c>
      <c r="H409" s="164">
        <f>SUM(H410)</f>
        <v>0</v>
      </c>
      <c r="I409" s="615">
        <f t="shared" si="163"/>
        <v>0</v>
      </c>
      <c r="J409" s="615">
        <f t="shared" si="164"/>
        <v>0</v>
      </c>
    </row>
    <row r="410" spans="1:10" x14ac:dyDescent="0.25">
      <c r="A410" s="82"/>
      <c r="B410" s="88" t="s">
        <v>475</v>
      </c>
      <c r="C410" s="57"/>
      <c r="D410" s="57" t="s">
        <v>214</v>
      </c>
      <c r="E410" s="141">
        <f>'Rekapitulacija Posebni dio'!C310+'Rekapitulacija Posebni dio'!C622+'Rekapitulacija Posebni dio'!C651+'Rekapitulacija Posebni dio'!C683</f>
        <v>0</v>
      </c>
      <c r="F410" s="141">
        <f>'Rekapitulacija Posebni dio'!D310+'Rekapitulacija Posebni dio'!D622+'Rekapitulacija Posebni dio'!D651+'Rekapitulacija Posebni dio'!D683</f>
        <v>14414.869999999999</v>
      </c>
      <c r="G410" s="141">
        <f>'Rekapitulacija Posebni dio'!E310+'Rekapitulacija Posebni dio'!E622+'Rekapitulacija Posebni dio'!E651+'Rekapitulacija Posebni dio'!E683</f>
        <v>27936.019999999997</v>
      </c>
      <c r="H410" s="141">
        <f>'Rekapitulacija Posebni dio'!F310+'Rekapitulacija Posebni dio'!F622+'Rekapitulacija Posebni dio'!F651+'Rekapitulacija Posebni dio'!F683</f>
        <v>0</v>
      </c>
      <c r="I410" s="609">
        <f t="shared" si="163"/>
        <v>0</v>
      </c>
      <c r="J410" s="609">
        <f t="shared" si="164"/>
        <v>0</v>
      </c>
    </row>
    <row r="411" spans="1:10" x14ac:dyDescent="0.25">
      <c r="A411" s="82"/>
      <c r="B411" s="83">
        <v>32</v>
      </c>
      <c r="C411" s="84"/>
      <c r="D411" s="85" t="s">
        <v>102</v>
      </c>
      <c r="E411" s="165">
        <f>SUM(E421+E412+E433+E451)</f>
        <v>1917.92</v>
      </c>
      <c r="F411" s="165">
        <f>SUM(F421+F412+F433+F451)</f>
        <v>16240.82</v>
      </c>
      <c r="G411" s="165">
        <f>SUM(G421+G412+G433+G447+G451)</f>
        <v>39604.32</v>
      </c>
      <c r="H411" s="165">
        <f>SUM(H421+H412+H433+H447+H451)</f>
        <v>11175.27</v>
      </c>
      <c r="I411" s="616">
        <f t="shared" si="163"/>
        <v>68.809764531593856</v>
      </c>
      <c r="J411" s="616">
        <f t="shared" si="164"/>
        <v>28.217300536911129</v>
      </c>
    </row>
    <row r="412" spans="1:10" x14ac:dyDescent="0.25">
      <c r="A412" s="82"/>
      <c r="B412" s="87" t="s">
        <v>215</v>
      </c>
      <c r="C412" s="82"/>
      <c r="D412" s="95" t="s">
        <v>103</v>
      </c>
      <c r="E412" s="164">
        <f>E414+E418+E420</f>
        <v>399.67</v>
      </c>
      <c r="F412" s="164">
        <f>F414+F418+F420</f>
        <v>11280.64</v>
      </c>
      <c r="G412" s="164">
        <f>G413+G417+G419</f>
        <v>30922.639999999999</v>
      </c>
      <c r="H412" s="164">
        <f>H413+H417+H419</f>
        <v>5100.1399999999994</v>
      </c>
      <c r="I412" s="615">
        <f t="shared" si="163"/>
        <v>45.211441904005447</v>
      </c>
      <c r="J412" s="615">
        <f t="shared" si="164"/>
        <v>16.493223088326221</v>
      </c>
    </row>
    <row r="413" spans="1:10" x14ac:dyDescent="0.25">
      <c r="A413" s="82"/>
      <c r="B413" s="87" t="s">
        <v>104</v>
      </c>
      <c r="C413" s="82"/>
      <c r="D413" s="95" t="s">
        <v>105</v>
      </c>
      <c r="E413" s="164">
        <f>SUM(E414:E416)</f>
        <v>0</v>
      </c>
      <c r="F413" s="164">
        <f>SUM(F414:F416)</f>
        <v>4716.17</v>
      </c>
      <c r="G413" s="164">
        <f t="shared" ref="G413" si="174">SUM(G414:G416)</f>
        <v>12716.17</v>
      </c>
      <c r="H413" s="164">
        <f t="shared" ref="H413" si="175">SUM(H414:H416)</f>
        <v>3000.22</v>
      </c>
      <c r="I413" s="615">
        <f t="shared" si="163"/>
        <v>63.615603339150198</v>
      </c>
      <c r="J413" s="615">
        <f t="shared" si="164"/>
        <v>23.593739309870816</v>
      </c>
    </row>
    <row r="414" spans="1:10" x14ac:dyDescent="0.25">
      <c r="A414" s="82"/>
      <c r="B414" s="88" t="s">
        <v>506</v>
      </c>
      <c r="C414" s="82"/>
      <c r="D414" s="96" t="s">
        <v>387</v>
      </c>
      <c r="E414" s="166">
        <f>'Rekapitulacija Posebni dio'!C626+'Rekapitulacija Posebni dio'!C655+'Rekapitulacija Posebni dio'!C731</f>
        <v>0</v>
      </c>
      <c r="F414" s="166">
        <f>'Rekapitulacija Posebni dio'!D626+'Rekapitulacija Posebni dio'!D655+'Rekapitulacija Posebni dio'!D731</f>
        <v>4716.17</v>
      </c>
      <c r="G414" s="166">
        <f>'Rekapitulacija Posebni dio'!E626+'Rekapitulacija Posebni dio'!E655+'Rekapitulacija Posebni dio'!E731</f>
        <v>5216.17</v>
      </c>
      <c r="H414" s="166">
        <f>'Rekapitulacija Posebni dio'!F626+'Rekapitulacija Posebni dio'!F655+'Rekapitulacija Posebni dio'!F731</f>
        <v>2029.32</v>
      </c>
      <c r="I414" s="617">
        <f t="shared" si="163"/>
        <v>43.028983263962068</v>
      </c>
      <c r="J414" s="617">
        <f t="shared" si="164"/>
        <v>38.904406873242245</v>
      </c>
    </row>
    <row r="415" spans="1:10" x14ac:dyDescent="0.25">
      <c r="A415" s="82"/>
      <c r="B415" s="88" t="s">
        <v>514</v>
      </c>
      <c r="C415" s="82"/>
      <c r="D415" s="96" t="s">
        <v>389</v>
      </c>
      <c r="E415" s="166">
        <f>'Rekapitulacija Posebni dio'!C656+'Rekapitulacija Posebni dio'!C732</f>
        <v>0</v>
      </c>
      <c r="F415" s="166">
        <f>'Rekapitulacija Posebni dio'!D656+'Rekapitulacija Posebni dio'!D732</f>
        <v>0</v>
      </c>
      <c r="G415" s="166">
        <f>'Rekapitulacija Posebni dio'!E656+'Rekapitulacija Posebni dio'!E732</f>
        <v>5100</v>
      </c>
      <c r="H415" s="166">
        <f>'Rekapitulacija Posebni dio'!F656+'Rekapitulacija Posebni dio'!F732</f>
        <v>600</v>
      </c>
      <c r="I415" s="617">
        <f t="shared" si="163"/>
        <v>600</v>
      </c>
      <c r="J415" s="617">
        <f t="shared" si="164"/>
        <v>11.76470588235294</v>
      </c>
    </row>
    <row r="416" spans="1:10" x14ac:dyDescent="0.25">
      <c r="A416" s="82"/>
      <c r="B416" s="88" t="s">
        <v>495</v>
      </c>
      <c r="C416" s="82"/>
      <c r="D416" s="96" t="s">
        <v>390</v>
      </c>
      <c r="E416" s="166">
        <f>'Rekapitulacija Posebni dio'!C657+'Rekapitulacija Posebni dio'!C733</f>
        <v>0</v>
      </c>
      <c r="F416" s="166">
        <f>'Rekapitulacija Posebni dio'!D657+'Rekapitulacija Posebni dio'!D733</f>
        <v>0</v>
      </c>
      <c r="G416" s="166">
        <f>'Rekapitulacija Posebni dio'!E657+'Rekapitulacija Posebni dio'!E733</f>
        <v>2400</v>
      </c>
      <c r="H416" s="166">
        <f>'Rekapitulacija Posebni dio'!F657+'Rekapitulacija Posebni dio'!F733</f>
        <v>370.9</v>
      </c>
      <c r="I416" s="617">
        <f t="shared" si="163"/>
        <v>370.9</v>
      </c>
      <c r="J416" s="617">
        <f t="shared" si="164"/>
        <v>15.454166666666666</v>
      </c>
    </row>
    <row r="417" spans="1:10" x14ac:dyDescent="0.25">
      <c r="A417" s="82"/>
      <c r="B417" s="87" t="s">
        <v>106</v>
      </c>
      <c r="C417" s="82"/>
      <c r="D417" s="95" t="s">
        <v>107</v>
      </c>
      <c r="E417" s="164">
        <f>SUM(E418)</f>
        <v>399.67</v>
      </c>
      <c r="F417" s="164">
        <f>SUM(F418)</f>
        <v>4905.43</v>
      </c>
      <c r="G417" s="164">
        <f>SUM(G418)</f>
        <v>11305.43</v>
      </c>
      <c r="H417" s="164">
        <f>SUM(H418)</f>
        <v>2099.92</v>
      </c>
      <c r="I417" s="615">
        <f t="shared" si="163"/>
        <v>42.808071871375191</v>
      </c>
      <c r="J417" s="615">
        <f t="shared" si="164"/>
        <v>18.574437239450422</v>
      </c>
    </row>
    <row r="418" spans="1:10" x14ac:dyDescent="0.25">
      <c r="A418" s="57"/>
      <c r="B418" s="88" t="s">
        <v>476</v>
      </c>
      <c r="C418" s="57"/>
      <c r="D418" s="96" t="s">
        <v>107</v>
      </c>
      <c r="E418" s="166">
        <f>'Rekapitulacija Posebni dio'!C628+'Rekapitulacija Posebni dio'!C659+'Rekapitulacija Posebni dio'!C735</f>
        <v>399.67</v>
      </c>
      <c r="F418" s="166">
        <f>'Rekapitulacija Posebni dio'!D628+'Rekapitulacija Posebni dio'!D659+'Rekapitulacija Posebni dio'!D735</f>
        <v>4905.43</v>
      </c>
      <c r="G418" s="166">
        <f>'Rekapitulacija Posebni dio'!E628+'Rekapitulacija Posebni dio'!E659+'Rekapitulacija Posebni dio'!E735</f>
        <v>11305.43</v>
      </c>
      <c r="H418" s="166">
        <f>'Rekapitulacija Posebni dio'!F628+'Rekapitulacija Posebni dio'!F659+'Rekapitulacija Posebni dio'!F735</f>
        <v>2099.92</v>
      </c>
      <c r="I418" s="617">
        <f t="shared" si="163"/>
        <v>42.808071871375191</v>
      </c>
      <c r="J418" s="617">
        <f t="shared" si="164"/>
        <v>18.574437239450422</v>
      </c>
    </row>
    <row r="419" spans="1:10" x14ac:dyDescent="0.25">
      <c r="A419" s="57"/>
      <c r="B419" s="87" t="s">
        <v>108</v>
      </c>
      <c r="C419" s="82"/>
      <c r="D419" s="95" t="s">
        <v>109</v>
      </c>
      <c r="E419" s="164">
        <f>SUM(E420)</f>
        <v>0</v>
      </c>
      <c r="F419" s="164">
        <f>SUM(F420)</f>
        <v>1659.04</v>
      </c>
      <c r="G419" s="164">
        <f>SUM(G420)</f>
        <v>6901.04</v>
      </c>
      <c r="H419" s="164">
        <f t="shared" ref="H419" si="176">SUM(H420)</f>
        <v>0</v>
      </c>
      <c r="I419" s="615">
        <f t="shared" si="163"/>
        <v>0</v>
      </c>
      <c r="J419" s="615">
        <f t="shared" si="164"/>
        <v>0</v>
      </c>
    </row>
    <row r="420" spans="1:10" x14ac:dyDescent="0.25">
      <c r="A420" s="57"/>
      <c r="B420" s="88" t="s">
        <v>496</v>
      </c>
      <c r="C420" s="57"/>
      <c r="D420" s="96" t="s">
        <v>392</v>
      </c>
      <c r="E420" s="166">
        <f>'Rekapitulacija Posebni dio'!C630+'Rekapitulacija Posebni dio'!C661+'Rekapitulacija Posebni dio'!C737</f>
        <v>0</v>
      </c>
      <c r="F420" s="166">
        <f>'Rekapitulacija Posebni dio'!D630+'Rekapitulacija Posebni dio'!D661+'Rekapitulacija Posebni dio'!D737</f>
        <v>1659.04</v>
      </c>
      <c r="G420" s="166">
        <f>'Rekapitulacija Posebni dio'!E630+'Rekapitulacija Posebni dio'!E661+'Rekapitulacija Posebni dio'!E737</f>
        <v>6901.04</v>
      </c>
      <c r="H420" s="166">
        <f>'Rekapitulacija Posebni dio'!F630+'Rekapitulacija Posebni dio'!F661+'Rekapitulacija Posebni dio'!F737</f>
        <v>0</v>
      </c>
      <c r="I420" s="617">
        <f t="shared" si="163"/>
        <v>0</v>
      </c>
      <c r="J420" s="617">
        <f t="shared" si="164"/>
        <v>0</v>
      </c>
    </row>
    <row r="421" spans="1:10" x14ac:dyDescent="0.25">
      <c r="A421" s="82"/>
      <c r="B421" s="87" t="s">
        <v>112</v>
      </c>
      <c r="C421" s="82"/>
      <c r="D421" s="82" t="s">
        <v>113</v>
      </c>
      <c r="E421" s="93">
        <f>E422+E426+E428</f>
        <v>0</v>
      </c>
      <c r="F421" s="93">
        <f>F422+F426+F428</f>
        <v>1500</v>
      </c>
      <c r="G421" s="93">
        <f>G422+G426+G428</f>
        <v>2500</v>
      </c>
      <c r="H421" s="93">
        <f>H422+H426+H428</f>
        <v>1086.27</v>
      </c>
      <c r="I421" s="607">
        <f t="shared" si="163"/>
        <v>72.417999999999992</v>
      </c>
      <c r="J421" s="607">
        <f t="shared" si="164"/>
        <v>43.450800000000001</v>
      </c>
    </row>
    <row r="422" spans="1:10" x14ac:dyDescent="0.25">
      <c r="A422" s="57"/>
      <c r="B422" s="87" t="s">
        <v>114</v>
      </c>
      <c r="C422" s="82"/>
      <c r="D422" s="82" t="s">
        <v>115</v>
      </c>
      <c r="E422" s="93">
        <f t="shared" ref="E422" si="177">E423+E424+E425</f>
        <v>0</v>
      </c>
      <c r="F422" s="93">
        <f t="shared" ref="F422:G422" si="178">F423+F424+F425</f>
        <v>0</v>
      </c>
      <c r="G422" s="93">
        <f t="shared" si="178"/>
        <v>2000</v>
      </c>
      <c r="H422" s="93">
        <f>H423+H424+H425</f>
        <v>1086.27</v>
      </c>
      <c r="I422" s="607">
        <f t="shared" si="163"/>
        <v>1086.27</v>
      </c>
      <c r="J422" s="607">
        <f t="shared" si="164"/>
        <v>54.313500000000005</v>
      </c>
    </row>
    <row r="423" spans="1:10" x14ac:dyDescent="0.25">
      <c r="A423" s="57"/>
      <c r="B423" s="88" t="s">
        <v>497</v>
      </c>
      <c r="C423" s="82"/>
      <c r="D423" s="42" t="s">
        <v>394</v>
      </c>
      <c r="E423" s="141">
        <f>'Rekapitulacija Posebni dio'!C314+'Rekapitulacija Posebni dio'!C740</f>
        <v>0</v>
      </c>
      <c r="F423" s="141">
        <f>'Rekapitulacija Posebni dio'!D314+'Rekapitulacija Posebni dio'!D740</f>
        <v>0</v>
      </c>
      <c r="G423" s="141">
        <f>'Rekapitulacija Posebni dio'!E314+'Rekapitulacija Posebni dio'!E740</f>
        <v>800</v>
      </c>
      <c r="H423" s="141">
        <f>'Rekapitulacija Posebni dio'!F314+'Rekapitulacija Posebni dio'!F740</f>
        <v>471.37</v>
      </c>
      <c r="I423" s="609">
        <f t="shared" si="163"/>
        <v>471.37</v>
      </c>
      <c r="J423" s="609">
        <f t="shared" si="164"/>
        <v>58.921250000000001</v>
      </c>
    </row>
    <row r="424" spans="1:10" x14ac:dyDescent="0.25">
      <c r="A424" s="57"/>
      <c r="B424" s="88" t="s">
        <v>518</v>
      </c>
      <c r="C424" s="82"/>
      <c r="D424" s="42" t="s">
        <v>396</v>
      </c>
      <c r="E424" s="141">
        <f>'Rekapitulacija Posebni dio'!C315</f>
        <v>0</v>
      </c>
      <c r="F424" s="141">
        <f>'Rekapitulacija Posebni dio'!D315</f>
        <v>0</v>
      </c>
      <c r="G424" s="141">
        <f>'Rekapitulacija Posebni dio'!E315</f>
        <v>0</v>
      </c>
      <c r="H424" s="141">
        <f>'Rekapitulacija Posebni dio'!F315</f>
        <v>0</v>
      </c>
      <c r="I424" s="609">
        <f t="shared" si="163"/>
        <v>0</v>
      </c>
      <c r="J424" s="609">
        <f t="shared" si="164"/>
        <v>0</v>
      </c>
    </row>
    <row r="425" spans="1:10" x14ac:dyDescent="0.25">
      <c r="A425" s="57"/>
      <c r="B425" s="88" t="s">
        <v>520</v>
      </c>
      <c r="C425" s="82"/>
      <c r="D425" s="42" t="s">
        <v>398</v>
      </c>
      <c r="E425" s="141">
        <f>'Rekapitulacija Posebni dio'!C741</f>
        <v>0</v>
      </c>
      <c r="F425" s="141">
        <f>'Rekapitulacija Posebni dio'!D741</f>
        <v>0</v>
      </c>
      <c r="G425" s="141">
        <f>'Rekapitulacija Posebni dio'!E741</f>
        <v>1200</v>
      </c>
      <c r="H425" s="141">
        <f>'Rekapitulacija Posebni dio'!F741</f>
        <v>614.9</v>
      </c>
      <c r="I425" s="609">
        <f t="shared" si="163"/>
        <v>614.9</v>
      </c>
      <c r="J425" s="609">
        <f t="shared" si="164"/>
        <v>51.24166666666666</v>
      </c>
    </row>
    <row r="426" spans="1:10" hidden="1" x14ac:dyDescent="0.25">
      <c r="A426" s="82"/>
      <c r="B426" s="87" t="s">
        <v>116</v>
      </c>
      <c r="C426" s="82"/>
      <c r="D426" s="82" t="s">
        <v>117</v>
      </c>
      <c r="E426" s="93"/>
      <c r="F426" s="93"/>
      <c r="G426" s="93">
        <f>G427</f>
        <v>0</v>
      </c>
      <c r="H426" s="93">
        <f>H427</f>
        <v>0</v>
      </c>
      <c r="I426" s="607">
        <f t="shared" si="163"/>
        <v>0</v>
      </c>
      <c r="J426" s="607">
        <f t="shared" si="164"/>
        <v>0</v>
      </c>
    </row>
    <row r="427" spans="1:10" hidden="1" x14ac:dyDescent="0.25">
      <c r="A427" s="82"/>
      <c r="B427" s="88" t="s">
        <v>478</v>
      </c>
      <c r="C427" s="57"/>
      <c r="D427" s="57" t="s">
        <v>399</v>
      </c>
      <c r="E427" s="141"/>
      <c r="F427" s="141"/>
      <c r="G427" s="141">
        <f>'Rekapitulacija Posebni dio'!E317</f>
        <v>0</v>
      </c>
      <c r="H427" s="141">
        <f>'Rekapitulacija Posebni dio'!F317</f>
        <v>0</v>
      </c>
      <c r="I427" s="609">
        <f t="shared" si="163"/>
        <v>0</v>
      </c>
      <c r="J427" s="609">
        <f t="shared" si="164"/>
        <v>0</v>
      </c>
    </row>
    <row r="428" spans="1:10" x14ac:dyDescent="0.25">
      <c r="A428" s="82"/>
      <c r="B428" s="87" t="s">
        <v>118</v>
      </c>
      <c r="C428" s="82"/>
      <c r="D428" s="82" t="s">
        <v>119</v>
      </c>
      <c r="E428" s="93">
        <f>E431</f>
        <v>0</v>
      </c>
      <c r="F428" s="93">
        <f>F431</f>
        <v>1500</v>
      </c>
      <c r="G428" s="93">
        <f>G429+G430+G431</f>
        <v>500</v>
      </c>
      <c r="H428" s="93">
        <f>H429+H430+H431</f>
        <v>0</v>
      </c>
      <c r="I428" s="607">
        <f t="shared" si="163"/>
        <v>0</v>
      </c>
      <c r="J428" s="607">
        <f t="shared" si="164"/>
        <v>0</v>
      </c>
    </row>
    <row r="429" spans="1:10" hidden="1" x14ac:dyDescent="0.25">
      <c r="A429" s="82"/>
      <c r="B429" s="88" t="s">
        <v>481</v>
      </c>
      <c r="C429" s="57"/>
      <c r="D429" s="57" t="s">
        <v>403</v>
      </c>
      <c r="E429" s="141"/>
      <c r="F429" s="141"/>
      <c r="G429" s="141">
        <f>'Rekapitulacija Posebni dio'!E319</f>
        <v>0</v>
      </c>
      <c r="H429" s="141">
        <f>'Rekapitulacija Posebni dio'!F319</f>
        <v>0</v>
      </c>
      <c r="I429" s="609">
        <f t="shared" si="163"/>
        <v>0</v>
      </c>
      <c r="J429" s="609">
        <f t="shared" si="164"/>
        <v>0</v>
      </c>
    </row>
    <row r="430" spans="1:10" hidden="1" x14ac:dyDescent="0.25">
      <c r="A430" s="82"/>
      <c r="B430" s="88" t="s">
        <v>483</v>
      </c>
      <c r="C430" s="57"/>
      <c r="D430" s="57" t="s">
        <v>405</v>
      </c>
      <c r="E430" s="141"/>
      <c r="F430" s="141"/>
      <c r="G430" s="141">
        <f>'Rekapitulacija Posebni dio'!E320</f>
        <v>0</v>
      </c>
      <c r="H430" s="141">
        <f>'Rekapitulacija Posebni dio'!F320</f>
        <v>0</v>
      </c>
      <c r="I430" s="609">
        <f t="shared" si="163"/>
        <v>0</v>
      </c>
      <c r="J430" s="609">
        <f t="shared" si="164"/>
        <v>0</v>
      </c>
    </row>
    <row r="431" spans="1:10" x14ac:dyDescent="0.25">
      <c r="A431" s="82"/>
      <c r="B431" s="88" t="s">
        <v>484</v>
      </c>
      <c r="C431" s="57"/>
      <c r="D431" s="57" t="s">
        <v>402</v>
      </c>
      <c r="E431" s="141">
        <f>'Rekapitulacija Posebni dio'!C744</f>
        <v>0</v>
      </c>
      <c r="F431" s="141">
        <f>'Rekapitulacija Posebni dio'!D744</f>
        <v>1500</v>
      </c>
      <c r="G431" s="141">
        <f>'Rekapitulacija Posebni dio'!E744</f>
        <v>500</v>
      </c>
      <c r="H431" s="141">
        <f>'Rekapitulacija Posebni dio'!F744</f>
        <v>0</v>
      </c>
      <c r="I431" s="609">
        <f t="shared" si="163"/>
        <v>0</v>
      </c>
      <c r="J431" s="609">
        <f t="shared" si="164"/>
        <v>0</v>
      </c>
    </row>
    <row r="432" spans="1:10" hidden="1" x14ac:dyDescent="0.25">
      <c r="A432" s="82"/>
      <c r="B432" s="87" t="s">
        <v>120</v>
      </c>
      <c r="C432" s="82"/>
      <c r="D432" s="82" t="s">
        <v>121</v>
      </c>
      <c r="E432" s="93"/>
      <c r="F432" s="93"/>
      <c r="G432" s="93"/>
      <c r="H432" s="93"/>
      <c r="I432" s="607">
        <f t="shared" si="163"/>
        <v>0</v>
      </c>
      <c r="J432" s="607">
        <f t="shared" si="164"/>
        <v>0</v>
      </c>
    </row>
    <row r="433" spans="1:10" x14ac:dyDescent="0.25">
      <c r="A433" s="82"/>
      <c r="B433" s="87" t="s">
        <v>126</v>
      </c>
      <c r="C433" s="82"/>
      <c r="D433" s="82" t="s">
        <v>127</v>
      </c>
      <c r="E433" s="93">
        <f>E434+E437+E439+E441+E444</f>
        <v>788.75</v>
      </c>
      <c r="F433" s="93">
        <f t="shared" ref="F433:H433" si="179">F434+F437+F439+F441+F444</f>
        <v>3460.18</v>
      </c>
      <c r="G433" s="93">
        <f t="shared" si="179"/>
        <v>5181.68</v>
      </c>
      <c r="H433" s="93">
        <f t="shared" si="179"/>
        <v>3547.2</v>
      </c>
      <c r="I433" s="607">
        <f t="shared" si="163"/>
        <v>102.51489806888658</v>
      </c>
      <c r="J433" s="607">
        <f t="shared" si="164"/>
        <v>68.456562350434609</v>
      </c>
    </row>
    <row r="434" spans="1:10" x14ac:dyDescent="0.25">
      <c r="A434" s="82"/>
      <c r="B434" s="87" t="s">
        <v>128</v>
      </c>
      <c r="C434" s="82"/>
      <c r="D434" s="82" t="s">
        <v>129</v>
      </c>
      <c r="E434" s="93">
        <f>E435+E436</f>
        <v>0</v>
      </c>
      <c r="F434" s="93">
        <f>F435+F436</f>
        <v>0</v>
      </c>
      <c r="G434" s="93">
        <f>G435+G436</f>
        <v>800</v>
      </c>
      <c r="H434" s="93">
        <f>H435+H436</f>
        <v>400</v>
      </c>
      <c r="I434" s="607">
        <f t="shared" si="163"/>
        <v>400</v>
      </c>
      <c r="J434" s="607">
        <f t="shared" si="164"/>
        <v>50</v>
      </c>
    </row>
    <row r="435" spans="1:10" x14ac:dyDescent="0.25">
      <c r="A435" s="82"/>
      <c r="B435" s="88" t="s">
        <v>487</v>
      </c>
      <c r="C435" s="57"/>
      <c r="D435" s="57" t="s">
        <v>410</v>
      </c>
      <c r="E435" s="141">
        <f>'Rekapitulacija Posebni dio'!C324</f>
        <v>0</v>
      </c>
      <c r="F435" s="141">
        <f>'Rekapitulacija Posebni dio'!D324</f>
        <v>0</v>
      </c>
      <c r="G435" s="141">
        <f>'Rekapitulacija Posebni dio'!E324</f>
        <v>0</v>
      </c>
      <c r="H435" s="141">
        <f>'Rekapitulacija Posebni dio'!F324</f>
        <v>0</v>
      </c>
      <c r="I435" s="609">
        <f t="shared" si="163"/>
        <v>0</v>
      </c>
      <c r="J435" s="609">
        <f t="shared" si="164"/>
        <v>0</v>
      </c>
    </row>
    <row r="436" spans="1:10" x14ac:dyDescent="0.25">
      <c r="A436" s="82"/>
      <c r="B436" s="88" t="s">
        <v>586</v>
      </c>
      <c r="C436" s="57"/>
      <c r="D436" s="57" t="s">
        <v>587</v>
      </c>
      <c r="E436" s="141">
        <f>'Rekapitulacija Posebni dio'!C749</f>
        <v>0</v>
      </c>
      <c r="F436" s="141">
        <f>'Rekapitulacija Posebni dio'!D749</f>
        <v>0</v>
      </c>
      <c r="G436" s="141">
        <f>'Rekapitulacija Posebni dio'!E749</f>
        <v>800</v>
      </c>
      <c r="H436" s="141">
        <f>'Rekapitulacija Posebni dio'!F749</f>
        <v>400</v>
      </c>
      <c r="I436" s="609">
        <f t="shared" si="163"/>
        <v>400</v>
      </c>
      <c r="J436" s="609">
        <f t="shared" si="164"/>
        <v>50</v>
      </c>
    </row>
    <row r="437" spans="1:10" x14ac:dyDescent="0.25">
      <c r="A437" s="82"/>
      <c r="B437" s="87" t="s">
        <v>132</v>
      </c>
      <c r="C437" s="82"/>
      <c r="D437" s="82" t="s">
        <v>133</v>
      </c>
      <c r="E437" s="93">
        <f>E438</f>
        <v>0</v>
      </c>
      <c r="F437" s="93">
        <f t="shared" ref="F437:H437" si="180">F438</f>
        <v>0</v>
      </c>
      <c r="G437" s="93">
        <f t="shared" si="180"/>
        <v>0</v>
      </c>
      <c r="H437" s="93">
        <f t="shared" si="180"/>
        <v>497.91</v>
      </c>
      <c r="I437" s="607">
        <f t="shared" si="163"/>
        <v>497.91</v>
      </c>
      <c r="J437" s="607">
        <f t="shared" si="164"/>
        <v>497.91</v>
      </c>
    </row>
    <row r="438" spans="1:10" x14ac:dyDescent="0.25">
      <c r="A438" s="82"/>
      <c r="B438" s="88" t="s">
        <v>489</v>
      </c>
      <c r="C438" s="57"/>
      <c r="D438" s="57" t="s">
        <v>133</v>
      </c>
      <c r="E438" s="141">
        <f>'Rekapitulacija Posebni dio'!C751</f>
        <v>0</v>
      </c>
      <c r="F438" s="141">
        <f>'Rekapitulacija Posebni dio'!D751</f>
        <v>0</v>
      </c>
      <c r="G438" s="141">
        <f>'Rekapitulacija Posebni dio'!E751</f>
        <v>0</v>
      </c>
      <c r="H438" s="141">
        <f>'Rekapitulacija Posebni dio'!F751</f>
        <v>497.91</v>
      </c>
      <c r="I438" s="609">
        <f t="shared" si="163"/>
        <v>497.91</v>
      </c>
      <c r="J438" s="609">
        <f t="shared" si="164"/>
        <v>497.91</v>
      </c>
    </row>
    <row r="439" spans="1:10" x14ac:dyDescent="0.25">
      <c r="A439" s="82"/>
      <c r="B439" s="87" t="s">
        <v>217</v>
      </c>
      <c r="C439" s="82"/>
      <c r="D439" s="82" t="s">
        <v>137</v>
      </c>
      <c r="E439" s="93"/>
      <c r="F439" s="93"/>
      <c r="G439" s="93">
        <f>G440</f>
        <v>0</v>
      </c>
      <c r="H439" s="93">
        <f>H440</f>
        <v>0</v>
      </c>
      <c r="I439" s="607">
        <f t="shared" si="163"/>
        <v>0</v>
      </c>
      <c r="J439" s="607">
        <f t="shared" si="164"/>
        <v>0</v>
      </c>
    </row>
    <row r="440" spans="1:10" x14ac:dyDescent="0.25">
      <c r="A440" s="82"/>
      <c r="B440" s="88" t="s">
        <v>498</v>
      </c>
      <c r="C440" s="57"/>
      <c r="D440" s="57" t="s">
        <v>421</v>
      </c>
      <c r="E440" s="141">
        <f>'Rekapitulacija Posebni dio'!C326</f>
        <v>0</v>
      </c>
      <c r="F440" s="141">
        <f>'Rekapitulacija Posebni dio'!D326</f>
        <v>0</v>
      </c>
      <c r="G440" s="141">
        <f>'Rekapitulacija Posebni dio'!E326</f>
        <v>0</v>
      </c>
      <c r="H440" s="141">
        <f>'Rekapitulacija Posebni dio'!F326</f>
        <v>0</v>
      </c>
      <c r="I440" s="609">
        <f t="shared" si="163"/>
        <v>0</v>
      </c>
      <c r="J440" s="609">
        <f t="shared" si="164"/>
        <v>0</v>
      </c>
    </row>
    <row r="441" spans="1:10" x14ac:dyDescent="0.25">
      <c r="A441" s="82"/>
      <c r="B441" s="87" t="s">
        <v>218</v>
      </c>
      <c r="C441" s="82"/>
      <c r="D441" s="82" t="s">
        <v>138</v>
      </c>
      <c r="E441" s="93">
        <f>SUM(E442)</f>
        <v>0</v>
      </c>
      <c r="F441" s="93">
        <f>SUM(F442)</f>
        <v>3018.74</v>
      </c>
      <c r="G441" s="93">
        <f>SUM(G442:G443)</f>
        <v>3440.24</v>
      </c>
      <c r="H441" s="93">
        <f>SUM(H442:H443)</f>
        <v>2000.99</v>
      </c>
      <c r="I441" s="607">
        <f t="shared" si="163"/>
        <v>66.285602602410293</v>
      </c>
      <c r="J441" s="607">
        <f t="shared" si="164"/>
        <v>58.164255982140787</v>
      </c>
    </row>
    <row r="442" spans="1:10" x14ac:dyDescent="0.25">
      <c r="A442" s="82"/>
      <c r="B442" s="88" t="s">
        <v>499</v>
      </c>
      <c r="C442" s="57"/>
      <c r="D442" s="57" t="s">
        <v>422</v>
      </c>
      <c r="E442" s="141">
        <f>'Rekapitulacija Posebni dio'!C635+'Rekapitulacija Posebni dio'!C666+'Rekapitulacija Posebni dio'!C755</f>
        <v>0</v>
      </c>
      <c r="F442" s="141">
        <f>'Rekapitulacija Posebni dio'!D635+'Rekapitulacija Posebni dio'!D666+'Rekapitulacija Posebni dio'!D755</f>
        <v>3018.74</v>
      </c>
      <c r="G442" s="141">
        <f>'Rekapitulacija Posebni dio'!E635+'Rekapitulacija Posebni dio'!E666+'Rekapitulacija Posebni dio'!E755</f>
        <v>3440.24</v>
      </c>
      <c r="H442" s="141">
        <f>'Rekapitulacija Posebni dio'!F635+'Rekapitulacija Posebni dio'!F666+'Rekapitulacija Posebni dio'!F755</f>
        <v>1582.24</v>
      </c>
      <c r="I442" s="609">
        <f t="shared" si="163"/>
        <v>52.413921039904068</v>
      </c>
      <c r="J442" s="609">
        <f t="shared" si="164"/>
        <v>45.992140083250007</v>
      </c>
    </row>
    <row r="443" spans="1:10" x14ac:dyDescent="0.25">
      <c r="A443" s="82"/>
      <c r="B443" s="88" t="s">
        <v>597</v>
      </c>
      <c r="C443" s="57"/>
      <c r="D443" s="57" t="s">
        <v>490</v>
      </c>
      <c r="E443" s="141">
        <f>'Rekapitulacija Posebni dio'!C770</f>
        <v>0</v>
      </c>
      <c r="F443" s="141">
        <f>'Rekapitulacija Posebni dio'!D770</f>
        <v>0</v>
      </c>
      <c r="G443" s="141">
        <f>'Rekapitulacija Posebni dio'!E770</f>
        <v>0</v>
      </c>
      <c r="H443" s="141">
        <f>'Rekapitulacija Posebni dio'!F770</f>
        <v>418.75</v>
      </c>
      <c r="I443" s="609">
        <f t="shared" si="163"/>
        <v>418.75</v>
      </c>
      <c r="J443" s="609">
        <f t="shared" si="164"/>
        <v>418.75</v>
      </c>
    </row>
    <row r="444" spans="1:10" x14ac:dyDescent="0.25">
      <c r="A444" s="82"/>
      <c r="B444" s="87" t="s">
        <v>141</v>
      </c>
      <c r="C444" s="82"/>
      <c r="D444" s="82" t="s">
        <v>536</v>
      </c>
      <c r="E444" s="93">
        <f>SUM(E446)</f>
        <v>788.75</v>
      </c>
      <c r="F444" s="93">
        <f>SUM(F446)</f>
        <v>441.44</v>
      </c>
      <c r="G444" s="93">
        <f>SUM(G445:G446)</f>
        <v>941.44</v>
      </c>
      <c r="H444" s="93">
        <f>SUM(H445:H446)</f>
        <v>648.29999999999995</v>
      </c>
      <c r="I444" s="607">
        <f t="shared" si="163"/>
        <v>146.86027546212395</v>
      </c>
      <c r="J444" s="607">
        <f t="shared" si="164"/>
        <v>68.862593473827317</v>
      </c>
    </row>
    <row r="445" spans="1:10" x14ac:dyDescent="0.25">
      <c r="A445" s="82"/>
      <c r="B445" s="88" t="s">
        <v>598</v>
      </c>
      <c r="C445" s="57"/>
      <c r="D445" s="57" t="s">
        <v>425</v>
      </c>
      <c r="E445" s="141"/>
      <c r="F445" s="141"/>
      <c r="G445" s="141">
        <f>'Rekapitulacija Posebni dio'!E330</f>
        <v>0</v>
      </c>
      <c r="H445" s="141">
        <f>'Rekapitulacija Posebni dio'!F330</f>
        <v>0</v>
      </c>
      <c r="I445" s="609">
        <f t="shared" si="163"/>
        <v>0</v>
      </c>
      <c r="J445" s="609">
        <f t="shared" si="164"/>
        <v>0</v>
      </c>
    </row>
    <row r="446" spans="1:10" x14ac:dyDescent="0.25">
      <c r="A446" s="82"/>
      <c r="B446" s="88" t="s">
        <v>500</v>
      </c>
      <c r="C446" s="57"/>
      <c r="D446" s="57" t="s">
        <v>305</v>
      </c>
      <c r="E446" s="141">
        <f>'Rekapitulacija Posebni dio'!C637+'Rekapitulacija Posebni dio'!C757+'Rekapitulacija Posebni dio'!C331+'Rekapitulacija Posebni dio'!C772</f>
        <v>788.75</v>
      </c>
      <c r="F446" s="141">
        <f>'Rekapitulacija Posebni dio'!D637+'Rekapitulacija Posebni dio'!D757+'Rekapitulacija Posebni dio'!D331+'Rekapitulacija Posebni dio'!D772</f>
        <v>441.44</v>
      </c>
      <c r="G446" s="141">
        <f>'Rekapitulacija Posebni dio'!E637+'Rekapitulacija Posebni dio'!E757+'Rekapitulacija Posebni dio'!E331+'Rekapitulacija Posebni dio'!E772</f>
        <v>941.44</v>
      </c>
      <c r="H446" s="141">
        <f>'Rekapitulacija Posebni dio'!F637+'Rekapitulacija Posebni dio'!F757+'Rekapitulacija Posebni dio'!F331+'Rekapitulacija Posebni dio'!F772</f>
        <v>648.29999999999995</v>
      </c>
      <c r="I446" s="609">
        <f t="shared" si="163"/>
        <v>146.86027546212395</v>
      </c>
      <c r="J446" s="609">
        <f t="shared" si="164"/>
        <v>68.862593473827317</v>
      </c>
    </row>
    <row r="447" spans="1:10" x14ac:dyDescent="0.25">
      <c r="A447" s="82"/>
      <c r="B447" s="92" t="s">
        <v>609</v>
      </c>
      <c r="C447" s="100"/>
      <c r="D447" s="118" t="s">
        <v>127</v>
      </c>
      <c r="E447" s="93">
        <f t="shared" ref="E447:H447" si="181">E448</f>
        <v>0</v>
      </c>
      <c r="F447" s="93">
        <f t="shared" si="181"/>
        <v>0</v>
      </c>
      <c r="G447" s="93">
        <f t="shared" si="181"/>
        <v>0</v>
      </c>
      <c r="H447" s="93">
        <f t="shared" si="181"/>
        <v>0</v>
      </c>
      <c r="I447" s="607">
        <f t="shared" si="163"/>
        <v>0</v>
      </c>
      <c r="J447" s="607">
        <f t="shared" si="164"/>
        <v>0</v>
      </c>
    </row>
    <row r="448" spans="1:10" x14ac:dyDescent="0.25">
      <c r="A448" s="82"/>
      <c r="B448" s="92" t="s">
        <v>610</v>
      </c>
      <c r="C448" s="100"/>
      <c r="D448" s="118" t="s">
        <v>142</v>
      </c>
      <c r="E448" s="93">
        <f>E449+E450</f>
        <v>0</v>
      </c>
      <c r="F448" s="93">
        <f>F449+F450</f>
        <v>0</v>
      </c>
      <c r="G448" s="93">
        <f t="shared" ref="G448:H448" si="182">G449+G450</f>
        <v>0</v>
      </c>
      <c r="H448" s="93">
        <f t="shared" si="182"/>
        <v>0</v>
      </c>
      <c r="I448" s="607">
        <f t="shared" si="163"/>
        <v>0</v>
      </c>
      <c r="J448" s="607">
        <f t="shared" si="164"/>
        <v>0</v>
      </c>
    </row>
    <row r="449" spans="1:10" x14ac:dyDescent="0.25">
      <c r="A449" s="82"/>
      <c r="B449" s="94" t="s">
        <v>611</v>
      </c>
      <c r="C449" s="100"/>
      <c r="D449" s="119" t="s">
        <v>613</v>
      </c>
      <c r="E449" s="141">
        <f>'Rekapitulacija Posebni dio'!C334</f>
        <v>0</v>
      </c>
      <c r="F449" s="141">
        <f>'Rekapitulacija Posebni dio'!D334</f>
        <v>0</v>
      </c>
      <c r="G449" s="141">
        <f>'Rekapitulacija Posebni dio'!E334</f>
        <v>0</v>
      </c>
      <c r="H449" s="141">
        <f>'Rekapitulacija Posebni dio'!F334</f>
        <v>0</v>
      </c>
      <c r="I449" s="609">
        <f t="shared" si="163"/>
        <v>0</v>
      </c>
      <c r="J449" s="609">
        <f t="shared" si="164"/>
        <v>0</v>
      </c>
    </row>
    <row r="450" spans="1:10" x14ac:dyDescent="0.25">
      <c r="A450" s="82"/>
      <c r="B450" s="94" t="s">
        <v>612</v>
      </c>
      <c r="C450" s="100"/>
      <c r="D450" s="119" t="s">
        <v>614</v>
      </c>
      <c r="E450" s="141">
        <f>'Rekapitulacija Posebni dio'!C335</f>
        <v>0</v>
      </c>
      <c r="F450" s="141">
        <f>'Rekapitulacija Posebni dio'!D335</f>
        <v>0</v>
      </c>
      <c r="G450" s="141">
        <f>'Rekapitulacija Posebni dio'!E335</f>
        <v>0</v>
      </c>
      <c r="H450" s="141">
        <f>'Rekapitulacija Posebni dio'!F335</f>
        <v>0</v>
      </c>
      <c r="I450" s="609">
        <f t="shared" si="163"/>
        <v>0</v>
      </c>
      <c r="J450" s="609">
        <f t="shared" si="164"/>
        <v>0</v>
      </c>
    </row>
    <row r="451" spans="1:10" x14ac:dyDescent="0.25">
      <c r="A451" s="82"/>
      <c r="B451" s="87" t="s">
        <v>219</v>
      </c>
      <c r="C451" s="82"/>
      <c r="D451" s="82" t="s">
        <v>220</v>
      </c>
      <c r="E451" s="93">
        <f>SUM(E454:E456)</f>
        <v>729.5</v>
      </c>
      <c r="F451" s="93">
        <f>SUM(F454:F456)</f>
        <v>0</v>
      </c>
      <c r="G451" s="93">
        <f>G454+G456</f>
        <v>1000</v>
      </c>
      <c r="H451" s="93">
        <f>H452+H454+H456+H457</f>
        <v>1441.66</v>
      </c>
      <c r="I451" s="607">
        <f t="shared" si="163"/>
        <v>1441.66</v>
      </c>
      <c r="J451" s="607">
        <f t="shared" si="164"/>
        <v>144.16600000000003</v>
      </c>
    </row>
    <row r="452" spans="1:10" hidden="1" x14ac:dyDescent="0.25">
      <c r="A452" s="82"/>
      <c r="B452" s="87" t="s">
        <v>231</v>
      </c>
      <c r="C452" s="82"/>
      <c r="D452" s="82" t="s">
        <v>147</v>
      </c>
      <c r="E452" s="93"/>
      <c r="F452" s="93"/>
      <c r="G452" s="93">
        <f>G453</f>
        <v>0</v>
      </c>
      <c r="H452" s="93">
        <f>H453</f>
        <v>0</v>
      </c>
      <c r="I452" s="607">
        <f t="shared" si="163"/>
        <v>0</v>
      </c>
      <c r="J452" s="607">
        <f t="shared" si="164"/>
        <v>0</v>
      </c>
    </row>
    <row r="453" spans="1:10" hidden="1" x14ac:dyDescent="0.25">
      <c r="A453" s="57"/>
      <c r="B453" s="88" t="s">
        <v>599</v>
      </c>
      <c r="C453" s="57"/>
      <c r="D453" s="57" t="s">
        <v>427</v>
      </c>
      <c r="E453" s="141"/>
      <c r="F453" s="141"/>
      <c r="G453" s="141">
        <f>'Rekapitulacija Posebni dio'!E338</f>
        <v>0</v>
      </c>
      <c r="H453" s="141">
        <f>'Rekapitulacija Posebni dio'!F338</f>
        <v>0</v>
      </c>
      <c r="I453" s="609">
        <f t="shared" si="163"/>
        <v>0</v>
      </c>
      <c r="J453" s="609">
        <f t="shared" si="164"/>
        <v>0</v>
      </c>
    </row>
    <row r="454" spans="1:10" x14ac:dyDescent="0.25">
      <c r="A454" s="82"/>
      <c r="B454" s="87" t="s">
        <v>221</v>
      </c>
      <c r="C454" s="82"/>
      <c r="D454" s="82" t="s">
        <v>148</v>
      </c>
      <c r="E454" s="93"/>
      <c r="F454" s="93"/>
      <c r="G454" s="93">
        <f>G455</f>
        <v>1000</v>
      </c>
      <c r="H454" s="93">
        <f>H455</f>
        <v>1441.66</v>
      </c>
      <c r="I454" s="607">
        <f t="shared" si="163"/>
        <v>1441.66</v>
      </c>
      <c r="J454" s="607">
        <f t="shared" si="164"/>
        <v>144.16600000000003</v>
      </c>
    </row>
    <row r="455" spans="1:10" x14ac:dyDescent="0.25">
      <c r="A455" s="82"/>
      <c r="B455" s="88" t="s">
        <v>532</v>
      </c>
      <c r="C455" s="57"/>
      <c r="D455" s="57" t="s">
        <v>148</v>
      </c>
      <c r="E455" s="141">
        <f>'Rekapitulacija Posebni dio'!C340+'Rekapitulacija Posebni dio'!C760</f>
        <v>729.5</v>
      </c>
      <c r="F455" s="141">
        <f>'Rekapitulacija Posebni dio'!D340+'Rekapitulacija Posebni dio'!D760</f>
        <v>0</v>
      </c>
      <c r="G455" s="141">
        <f>'Rekapitulacija Posebni dio'!E340+'Rekapitulacija Posebni dio'!E760</f>
        <v>1000</v>
      </c>
      <c r="H455" s="141">
        <f>'Rekapitulacija Posebni dio'!F340+'Rekapitulacija Posebni dio'!F760</f>
        <v>1441.66</v>
      </c>
      <c r="I455" s="609">
        <f t="shared" si="163"/>
        <v>1441.66</v>
      </c>
      <c r="J455" s="609">
        <f t="shared" si="164"/>
        <v>144.16600000000003</v>
      </c>
    </row>
    <row r="456" spans="1:10" x14ac:dyDescent="0.25">
      <c r="A456" s="82"/>
      <c r="B456" s="87" t="s">
        <v>222</v>
      </c>
      <c r="C456" s="82"/>
      <c r="D456" s="82" t="s">
        <v>150</v>
      </c>
      <c r="E456" s="93"/>
      <c r="F456" s="93"/>
      <c r="G456" s="93"/>
      <c r="H456" s="93"/>
      <c r="I456" s="607">
        <f t="shared" si="163"/>
        <v>0</v>
      </c>
      <c r="J456" s="607">
        <f t="shared" si="164"/>
        <v>0</v>
      </c>
    </row>
    <row r="457" spans="1:10" x14ac:dyDescent="0.25">
      <c r="A457" s="82"/>
      <c r="B457" s="87" t="s">
        <v>152</v>
      </c>
      <c r="C457" s="82"/>
      <c r="D457" s="82" t="s">
        <v>144</v>
      </c>
      <c r="E457" s="93"/>
      <c r="F457" s="93"/>
      <c r="G457" s="93">
        <f>G458</f>
        <v>0</v>
      </c>
      <c r="H457" s="93">
        <f>H458</f>
        <v>0</v>
      </c>
      <c r="I457" s="607">
        <f t="shared" si="163"/>
        <v>0</v>
      </c>
      <c r="J457" s="607">
        <f t="shared" si="164"/>
        <v>0</v>
      </c>
    </row>
    <row r="458" spans="1:10" x14ac:dyDescent="0.25">
      <c r="A458" s="82"/>
      <c r="B458" s="88" t="s">
        <v>600</v>
      </c>
      <c r="C458" s="57"/>
      <c r="D458" s="57" t="s">
        <v>144</v>
      </c>
      <c r="E458" s="141"/>
      <c r="F458" s="141"/>
      <c r="G458" s="141"/>
      <c r="H458" s="141">
        <f>'Rekapitulacija Posebni dio'!F342</f>
        <v>0</v>
      </c>
      <c r="I458" s="609">
        <f t="shared" ref="I458:I521" si="183">IFERROR(H458/F458*100,H458)</f>
        <v>0</v>
      </c>
      <c r="J458" s="609">
        <f t="shared" ref="J458:J521" si="184">IFERROR(H458/G458*100,H458)</f>
        <v>0</v>
      </c>
    </row>
    <row r="459" spans="1:10" x14ac:dyDescent="0.25">
      <c r="A459" s="130">
        <v>4</v>
      </c>
      <c r="B459" s="106"/>
      <c r="C459" s="131"/>
      <c r="D459" s="132" t="s">
        <v>174</v>
      </c>
      <c r="E459" s="167">
        <f t="shared" ref="E459:H460" si="185">E460</f>
        <v>569750</v>
      </c>
      <c r="F459" s="167">
        <f t="shared" si="185"/>
        <v>0</v>
      </c>
      <c r="G459" s="167">
        <f t="shared" si="185"/>
        <v>0</v>
      </c>
      <c r="H459" s="167">
        <f t="shared" si="185"/>
        <v>612.5</v>
      </c>
      <c r="I459" s="618">
        <f t="shared" si="183"/>
        <v>612.5</v>
      </c>
      <c r="J459" s="618">
        <f t="shared" si="184"/>
        <v>612.5</v>
      </c>
    </row>
    <row r="460" spans="1:10" x14ac:dyDescent="0.25">
      <c r="A460" s="82"/>
      <c r="B460" s="83">
        <v>42</v>
      </c>
      <c r="C460" s="84"/>
      <c r="D460" s="85" t="s">
        <v>183</v>
      </c>
      <c r="E460" s="165">
        <f>E461</f>
        <v>569750</v>
      </c>
      <c r="F460" s="165">
        <f t="shared" si="185"/>
        <v>0</v>
      </c>
      <c r="G460" s="165">
        <f t="shared" si="185"/>
        <v>0</v>
      </c>
      <c r="H460" s="165">
        <f t="shared" si="185"/>
        <v>612.5</v>
      </c>
      <c r="I460" s="616">
        <f t="shared" si="183"/>
        <v>612.5</v>
      </c>
      <c r="J460" s="616">
        <f t="shared" si="184"/>
        <v>612.5</v>
      </c>
    </row>
    <row r="461" spans="1:10" x14ac:dyDescent="0.25">
      <c r="A461" s="82"/>
      <c r="B461" s="87">
        <v>422</v>
      </c>
      <c r="C461" s="82"/>
      <c r="D461" s="82" t="s">
        <v>184</v>
      </c>
      <c r="E461" s="93">
        <f>E462+E463+E465</f>
        <v>569750</v>
      </c>
      <c r="F461" s="93">
        <f t="shared" ref="F461:H461" si="186">F462+F463+F465</f>
        <v>0</v>
      </c>
      <c r="G461" s="93">
        <f t="shared" si="186"/>
        <v>0</v>
      </c>
      <c r="H461" s="93">
        <f t="shared" si="186"/>
        <v>612.5</v>
      </c>
      <c r="I461" s="607">
        <f t="shared" si="183"/>
        <v>612.5</v>
      </c>
      <c r="J461" s="607">
        <f t="shared" si="184"/>
        <v>612.5</v>
      </c>
    </row>
    <row r="462" spans="1:10" x14ac:dyDescent="0.25">
      <c r="A462" s="82"/>
      <c r="B462" s="87" t="s">
        <v>185</v>
      </c>
      <c r="C462" s="82"/>
      <c r="D462" s="82" t="s">
        <v>186</v>
      </c>
      <c r="E462" s="93"/>
      <c r="F462" s="93"/>
      <c r="G462" s="93"/>
      <c r="H462" s="93"/>
      <c r="I462" s="607">
        <f t="shared" si="183"/>
        <v>0</v>
      </c>
      <c r="J462" s="607">
        <f t="shared" si="184"/>
        <v>0</v>
      </c>
    </row>
    <row r="463" spans="1:10" x14ac:dyDescent="0.25">
      <c r="A463" s="82"/>
      <c r="B463" s="87" t="s">
        <v>229</v>
      </c>
      <c r="C463" s="82"/>
      <c r="D463" s="82" t="s">
        <v>190</v>
      </c>
      <c r="E463" s="93">
        <f>E464</f>
        <v>569750</v>
      </c>
      <c r="F463" s="93">
        <f t="shared" ref="F463:H463" si="187">F464</f>
        <v>0</v>
      </c>
      <c r="G463" s="93">
        <f t="shared" si="187"/>
        <v>0</v>
      </c>
      <c r="H463" s="93">
        <f t="shared" si="187"/>
        <v>0</v>
      </c>
      <c r="I463" s="607">
        <f t="shared" si="183"/>
        <v>0</v>
      </c>
      <c r="J463" s="607">
        <f t="shared" si="184"/>
        <v>0</v>
      </c>
    </row>
    <row r="464" spans="1:10" x14ac:dyDescent="0.25">
      <c r="A464" s="82"/>
      <c r="B464" s="88" t="s">
        <v>503</v>
      </c>
      <c r="C464" s="57"/>
      <c r="D464" s="57" t="s">
        <v>449</v>
      </c>
      <c r="E464" s="141">
        <f>'Rekapitulacija Posebni dio'!C777</f>
        <v>569750</v>
      </c>
      <c r="F464" s="141">
        <f>'Rekapitulacija Posebni dio'!D777</f>
        <v>0</v>
      </c>
      <c r="G464" s="141">
        <f>'Rekapitulacija Posebni dio'!E777</f>
        <v>0</v>
      </c>
      <c r="H464" s="141">
        <f>'Rekapitulacija Posebni dio'!F777</f>
        <v>0</v>
      </c>
      <c r="I464" s="609">
        <f t="shared" si="183"/>
        <v>0</v>
      </c>
      <c r="J464" s="609">
        <f t="shared" si="184"/>
        <v>0</v>
      </c>
    </row>
    <row r="465" spans="1:10" s="64" customFormat="1" ht="14.25" x14ac:dyDescent="0.25">
      <c r="A465" s="82"/>
      <c r="B465" s="87" t="s">
        <v>345</v>
      </c>
      <c r="C465" s="82"/>
      <c r="D465" s="82" t="s">
        <v>192</v>
      </c>
      <c r="E465" s="93">
        <f>E466</f>
        <v>0</v>
      </c>
      <c r="F465" s="93">
        <f t="shared" ref="F465:H465" si="188">F466</f>
        <v>0</v>
      </c>
      <c r="G465" s="93">
        <f t="shared" si="188"/>
        <v>0</v>
      </c>
      <c r="H465" s="93">
        <f t="shared" si="188"/>
        <v>612.5</v>
      </c>
      <c r="I465" s="607">
        <f t="shared" si="183"/>
        <v>612.5</v>
      </c>
      <c r="J465" s="607">
        <f t="shared" si="184"/>
        <v>612.5</v>
      </c>
    </row>
    <row r="466" spans="1:10" x14ac:dyDescent="0.25">
      <c r="A466" s="82"/>
      <c r="B466" s="88" t="s">
        <v>509</v>
      </c>
      <c r="C466" s="57"/>
      <c r="D466" s="57" t="s">
        <v>192</v>
      </c>
      <c r="E466" s="141">
        <f>'Rekapitulacija Posebni dio'!C779</f>
        <v>0</v>
      </c>
      <c r="F466" s="141">
        <f>'Rekapitulacija Posebni dio'!D779</f>
        <v>0</v>
      </c>
      <c r="G466" s="141">
        <f>'Rekapitulacija Posebni dio'!E779</f>
        <v>0</v>
      </c>
      <c r="H466" s="141">
        <f>'Rekapitulacija Posebni dio'!F779</f>
        <v>612.5</v>
      </c>
      <c r="I466" s="609">
        <f t="shared" si="183"/>
        <v>612.5</v>
      </c>
      <c r="J466" s="609">
        <f t="shared" si="184"/>
        <v>612.5</v>
      </c>
    </row>
    <row r="467" spans="1:10" x14ac:dyDescent="0.25">
      <c r="A467" s="136"/>
      <c r="B467" s="137"/>
      <c r="C467" s="160">
        <v>52</v>
      </c>
      <c r="D467" s="161" t="s">
        <v>224</v>
      </c>
      <c r="E467" s="162">
        <f>E396</f>
        <v>34437.620000000003</v>
      </c>
      <c r="F467" s="162">
        <f>F396</f>
        <v>128013.94999999998</v>
      </c>
      <c r="G467" s="162">
        <f>G396+G459</f>
        <v>230923.83000000002</v>
      </c>
      <c r="H467" s="162">
        <f>H396+H459</f>
        <v>53309.919999999998</v>
      </c>
      <c r="I467" s="613">
        <f t="shared" si="183"/>
        <v>41.643836472509442</v>
      </c>
      <c r="J467" s="613">
        <f t="shared" si="184"/>
        <v>23.085499664543065</v>
      </c>
    </row>
    <row r="468" spans="1:10" hidden="1" x14ac:dyDescent="0.25">
      <c r="A468" s="79" t="s">
        <v>86</v>
      </c>
      <c r="B468" s="79"/>
      <c r="C468" s="80"/>
      <c r="D468" s="72" t="s">
        <v>87</v>
      </c>
      <c r="E468" s="81">
        <f>E469+E478</f>
        <v>0</v>
      </c>
      <c r="F468" s="81">
        <f>F469+F478</f>
        <v>0</v>
      </c>
      <c r="G468" s="81">
        <f>G469+G478</f>
        <v>0</v>
      </c>
      <c r="H468" s="81">
        <f t="shared" ref="H468" si="189">H469+H478</f>
        <v>0</v>
      </c>
      <c r="I468" s="606">
        <f t="shared" si="183"/>
        <v>0</v>
      </c>
      <c r="J468" s="606">
        <f t="shared" si="184"/>
        <v>0</v>
      </c>
    </row>
    <row r="469" spans="1:10" hidden="1" x14ac:dyDescent="0.25">
      <c r="A469" s="82"/>
      <c r="B469" s="83">
        <v>31</v>
      </c>
      <c r="C469" s="84"/>
      <c r="D469" s="85" t="s">
        <v>88</v>
      </c>
      <c r="E469" s="86">
        <f>E470+E473+E475</f>
        <v>0</v>
      </c>
      <c r="F469" s="86">
        <f>F470+F473+F475</f>
        <v>0</v>
      </c>
      <c r="G469" s="86">
        <f>G470+G473+G475</f>
        <v>0</v>
      </c>
      <c r="H469" s="86">
        <f t="shared" ref="H469" si="190">H470+H473+H475</f>
        <v>0</v>
      </c>
      <c r="I469" s="587">
        <f t="shared" si="183"/>
        <v>0</v>
      </c>
      <c r="J469" s="587">
        <f t="shared" si="184"/>
        <v>0</v>
      </c>
    </row>
    <row r="470" spans="1:10" hidden="1" x14ac:dyDescent="0.25">
      <c r="A470" s="82"/>
      <c r="B470" s="87">
        <v>311</v>
      </c>
      <c r="C470" s="57"/>
      <c r="D470" s="82" t="s">
        <v>89</v>
      </c>
      <c r="E470" s="52">
        <f>SUM(E471:E472)</f>
        <v>0</v>
      </c>
      <c r="F470" s="52">
        <f>SUM(F471:F472)</f>
        <v>0</v>
      </c>
      <c r="G470" s="52">
        <f>SUM(G471:G472)</f>
        <v>0</v>
      </c>
      <c r="H470" s="52">
        <f t="shared" ref="H470" si="191">SUM(H471:H472)</f>
        <v>0</v>
      </c>
      <c r="I470" s="591">
        <f t="shared" si="183"/>
        <v>0</v>
      </c>
      <c r="J470" s="591">
        <f t="shared" si="184"/>
        <v>0</v>
      </c>
    </row>
    <row r="471" spans="1:10" hidden="1" x14ac:dyDescent="0.25">
      <c r="A471" s="57"/>
      <c r="B471" s="88">
        <v>3111</v>
      </c>
      <c r="C471" s="57"/>
      <c r="D471" s="57" t="s">
        <v>90</v>
      </c>
      <c r="E471" s="89"/>
      <c r="F471" s="89"/>
      <c r="G471" s="89"/>
      <c r="H471" s="89"/>
      <c r="I471" s="585">
        <f t="shared" si="183"/>
        <v>0</v>
      </c>
      <c r="J471" s="585">
        <f t="shared" si="184"/>
        <v>0</v>
      </c>
    </row>
    <row r="472" spans="1:10" hidden="1" x14ac:dyDescent="0.25">
      <c r="A472" s="57"/>
      <c r="B472" s="88" t="s">
        <v>95</v>
      </c>
      <c r="C472" s="57"/>
      <c r="D472" s="57" t="s">
        <v>211</v>
      </c>
      <c r="E472" s="89"/>
      <c r="F472" s="89"/>
      <c r="G472" s="89"/>
      <c r="H472" s="89"/>
      <c r="I472" s="585">
        <f t="shared" si="183"/>
        <v>0</v>
      </c>
      <c r="J472" s="585">
        <f t="shared" si="184"/>
        <v>0</v>
      </c>
    </row>
    <row r="473" spans="1:10" hidden="1" x14ac:dyDescent="0.25">
      <c r="A473" s="82"/>
      <c r="B473" s="87" t="s">
        <v>97</v>
      </c>
      <c r="C473" s="82"/>
      <c r="D473" s="82" t="s">
        <v>98</v>
      </c>
      <c r="E473" s="52">
        <f>SUM(E474)</f>
        <v>0</v>
      </c>
      <c r="F473" s="52">
        <f>SUM(F474)</f>
        <v>0</v>
      </c>
      <c r="G473" s="52">
        <f>SUM(G474)</f>
        <v>0</v>
      </c>
      <c r="H473" s="52">
        <f t="shared" ref="H473" si="192">SUM(H474)</f>
        <v>0</v>
      </c>
      <c r="I473" s="591">
        <f t="shared" si="183"/>
        <v>0</v>
      </c>
      <c r="J473" s="591">
        <f t="shared" si="184"/>
        <v>0</v>
      </c>
    </row>
    <row r="474" spans="1:10" hidden="1" x14ac:dyDescent="0.25">
      <c r="A474" s="57"/>
      <c r="B474" s="88" t="s">
        <v>99</v>
      </c>
      <c r="C474" s="57"/>
      <c r="D474" s="57" t="s">
        <v>98</v>
      </c>
      <c r="E474" s="89"/>
      <c r="F474" s="89"/>
      <c r="G474" s="89"/>
      <c r="H474" s="89"/>
      <c r="I474" s="585">
        <f t="shared" si="183"/>
        <v>0</v>
      </c>
      <c r="J474" s="585">
        <f t="shared" si="184"/>
        <v>0</v>
      </c>
    </row>
    <row r="475" spans="1:10" hidden="1" x14ac:dyDescent="0.25">
      <c r="A475" s="82"/>
      <c r="B475" s="92">
        <v>313</v>
      </c>
      <c r="C475" s="82"/>
      <c r="D475" s="82" t="s">
        <v>100</v>
      </c>
      <c r="E475" s="93">
        <f>SUM(E476:E477)</f>
        <v>0</v>
      </c>
      <c r="F475" s="93">
        <f>SUM(F476:F477)</f>
        <v>0</v>
      </c>
      <c r="G475" s="93">
        <f>SUM(G476:G477)</f>
        <v>0</v>
      </c>
      <c r="H475" s="93">
        <f t="shared" ref="H475" si="193">SUM(H476:H477)</f>
        <v>0</v>
      </c>
      <c r="I475" s="607">
        <f t="shared" si="183"/>
        <v>0</v>
      </c>
      <c r="J475" s="607">
        <f t="shared" si="184"/>
        <v>0</v>
      </c>
    </row>
    <row r="476" spans="1:10" hidden="1" x14ac:dyDescent="0.25">
      <c r="A476" s="57"/>
      <c r="B476" s="94" t="s">
        <v>225</v>
      </c>
      <c r="C476" s="57"/>
      <c r="D476" s="57" t="s">
        <v>226</v>
      </c>
      <c r="E476" s="141"/>
      <c r="F476" s="141"/>
      <c r="G476" s="141"/>
      <c r="H476" s="141"/>
      <c r="I476" s="609">
        <f t="shared" si="183"/>
        <v>0</v>
      </c>
      <c r="J476" s="609">
        <f t="shared" si="184"/>
        <v>0</v>
      </c>
    </row>
    <row r="477" spans="1:10" hidden="1" x14ac:dyDescent="0.25">
      <c r="A477" s="57"/>
      <c r="B477" s="94">
        <v>3132</v>
      </c>
      <c r="C477" s="57"/>
      <c r="D477" s="57" t="s">
        <v>101</v>
      </c>
      <c r="E477" s="141"/>
      <c r="F477" s="141"/>
      <c r="G477" s="141"/>
      <c r="H477" s="141"/>
      <c r="I477" s="609">
        <f t="shared" si="183"/>
        <v>0</v>
      </c>
      <c r="J477" s="609">
        <f t="shared" si="184"/>
        <v>0</v>
      </c>
    </row>
    <row r="478" spans="1:10" hidden="1" x14ac:dyDescent="0.25">
      <c r="A478" s="82"/>
      <c r="B478" s="83">
        <v>32</v>
      </c>
      <c r="C478" s="84"/>
      <c r="D478" s="85" t="s">
        <v>102</v>
      </c>
      <c r="E478" s="86">
        <f>E479+E483+E485</f>
        <v>0</v>
      </c>
      <c r="F478" s="86">
        <f>F479+F483+F485</f>
        <v>0</v>
      </c>
      <c r="G478" s="86">
        <f>G479+G483+G485</f>
        <v>0</v>
      </c>
      <c r="H478" s="86">
        <f t="shared" ref="H478" si="194">H479+H483+H485</f>
        <v>0</v>
      </c>
      <c r="I478" s="587">
        <f t="shared" si="183"/>
        <v>0</v>
      </c>
      <c r="J478" s="587">
        <f t="shared" si="184"/>
        <v>0</v>
      </c>
    </row>
    <row r="479" spans="1:10" hidden="1" x14ac:dyDescent="0.25">
      <c r="A479" s="82"/>
      <c r="B479" s="87">
        <v>321</v>
      </c>
      <c r="C479" s="82"/>
      <c r="D479" s="82" t="s">
        <v>103</v>
      </c>
      <c r="E479" s="52">
        <f>SUM(E480:E481)</f>
        <v>0</v>
      </c>
      <c r="F479" s="52">
        <f>SUM(F480:F481)</f>
        <v>0</v>
      </c>
      <c r="G479" s="52">
        <f>SUM(G480:G481)</f>
        <v>0</v>
      </c>
      <c r="H479" s="52">
        <f t="shared" ref="H479" si="195">SUM(H480:H481)</f>
        <v>0</v>
      </c>
      <c r="I479" s="591">
        <f t="shared" si="183"/>
        <v>0</v>
      </c>
      <c r="J479" s="591">
        <f t="shared" si="184"/>
        <v>0</v>
      </c>
    </row>
    <row r="480" spans="1:10" hidden="1" x14ac:dyDescent="0.25">
      <c r="A480" s="57"/>
      <c r="B480" s="88" t="s">
        <v>104</v>
      </c>
      <c r="C480" s="57"/>
      <c r="D480" s="57" t="s">
        <v>105</v>
      </c>
      <c r="E480" s="89"/>
      <c r="F480" s="89"/>
      <c r="G480" s="89"/>
      <c r="H480" s="89"/>
      <c r="I480" s="585">
        <f t="shared" si="183"/>
        <v>0</v>
      </c>
      <c r="J480" s="585">
        <f t="shared" si="184"/>
        <v>0</v>
      </c>
    </row>
    <row r="481" spans="1:10" hidden="1" x14ac:dyDescent="0.25">
      <c r="A481" s="57"/>
      <c r="B481" s="88" t="s">
        <v>106</v>
      </c>
      <c r="C481" s="57"/>
      <c r="D481" s="98" t="s">
        <v>107</v>
      </c>
      <c r="E481" s="89"/>
      <c r="F481" s="89"/>
      <c r="G481" s="89"/>
      <c r="H481" s="89"/>
      <c r="I481" s="585">
        <f t="shared" si="183"/>
        <v>0</v>
      </c>
      <c r="J481" s="585">
        <f t="shared" si="184"/>
        <v>0</v>
      </c>
    </row>
    <row r="482" spans="1:10" hidden="1" x14ac:dyDescent="0.25">
      <c r="A482" s="57"/>
      <c r="B482" s="88" t="s">
        <v>108</v>
      </c>
      <c r="C482" s="57"/>
      <c r="D482" s="98" t="s">
        <v>109</v>
      </c>
      <c r="E482" s="89"/>
      <c r="F482" s="89"/>
      <c r="G482" s="89"/>
      <c r="H482" s="89"/>
      <c r="I482" s="585">
        <f t="shared" si="183"/>
        <v>0</v>
      </c>
      <c r="J482" s="585">
        <f t="shared" si="184"/>
        <v>0</v>
      </c>
    </row>
    <row r="483" spans="1:10" hidden="1" x14ac:dyDescent="0.25">
      <c r="A483" s="82"/>
      <c r="B483" s="87" t="s">
        <v>112</v>
      </c>
      <c r="C483" s="82"/>
      <c r="D483" s="97" t="s">
        <v>113</v>
      </c>
      <c r="E483" s="52">
        <f>SUM(E484:E484)</f>
        <v>0</v>
      </c>
      <c r="F483" s="52">
        <f>SUM(F484:F484)</f>
        <v>0</v>
      </c>
      <c r="G483" s="52">
        <f>SUM(G484:G484)</f>
        <v>0</v>
      </c>
      <c r="H483" s="52">
        <f t="shared" ref="H483" si="196">SUM(H484:H484)</f>
        <v>0</v>
      </c>
      <c r="I483" s="591">
        <f t="shared" si="183"/>
        <v>0</v>
      </c>
      <c r="J483" s="591">
        <f t="shared" si="184"/>
        <v>0</v>
      </c>
    </row>
    <row r="484" spans="1:10" hidden="1" x14ac:dyDescent="0.25">
      <c r="A484" s="82"/>
      <c r="B484" s="88" t="s">
        <v>118</v>
      </c>
      <c r="C484" s="82"/>
      <c r="D484" s="57" t="s">
        <v>119</v>
      </c>
      <c r="E484" s="89"/>
      <c r="F484" s="89"/>
      <c r="G484" s="89"/>
      <c r="H484" s="89"/>
      <c r="I484" s="585">
        <f t="shared" si="183"/>
        <v>0</v>
      </c>
      <c r="J484" s="585">
        <f t="shared" si="184"/>
        <v>0</v>
      </c>
    </row>
    <row r="485" spans="1:10" hidden="1" x14ac:dyDescent="0.25">
      <c r="A485" s="82"/>
      <c r="B485" s="87" t="s">
        <v>126</v>
      </c>
      <c r="C485" s="82"/>
      <c r="D485" s="97" t="s">
        <v>127</v>
      </c>
      <c r="E485" s="52">
        <f>SUM(E487:E487)</f>
        <v>0</v>
      </c>
      <c r="F485" s="52">
        <f>SUM(F487:F487)</f>
        <v>0</v>
      </c>
      <c r="G485" s="52">
        <f>SUM(G487:G487)</f>
        <v>0</v>
      </c>
      <c r="H485" s="52">
        <f t="shared" ref="H485" si="197">SUM(H487:H487)</f>
        <v>0</v>
      </c>
      <c r="I485" s="591">
        <f t="shared" si="183"/>
        <v>0</v>
      </c>
      <c r="J485" s="591">
        <f t="shared" si="184"/>
        <v>0</v>
      </c>
    </row>
    <row r="486" spans="1:10" hidden="1" x14ac:dyDescent="0.25">
      <c r="A486" s="57"/>
      <c r="B486" s="88" t="s">
        <v>128</v>
      </c>
      <c r="C486" s="57"/>
      <c r="D486" s="98" t="s">
        <v>129</v>
      </c>
      <c r="E486" s="89"/>
      <c r="F486" s="89"/>
      <c r="G486" s="89"/>
      <c r="H486" s="89"/>
      <c r="I486" s="585">
        <f t="shared" si="183"/>
        <v>0</v>
      </c>
      <c r="J486" s="585">
        <f t="shared" si="184"/>
        <v>0</v>
      </c>
    </row>
    <row r="487" spans="1:10" hidden="1" x14ac:dyDescent="0.25">
      <c r="A487" s="82"/>
      <c r="B487" s="88" t="s">
        <v>132</v>
      </c>
      <c r="C487" s="82"/>
      <c r="D487" s="98" t="s">
        <v>133</v>
      </c>
      <c r="E487" s="89"/>
      <c r="F487" s="89"/>
      <c r="G487" s="89"/>
      <c r="H487" s="89"/>
      <c r="I487" s="585">
        <f t="shared" si="183"/>
        <v>0</v>
      </c>
      <c r="J487" s="585">
        <f t="shared" si="184"/>
        <v>0</v>
      </c>
    </row>
    <row r="488" spans="1:10" hidden="1" x14ac:dyDescent="0.25">
      <c r="A488" s="130">
        <v>4</v>
      </c>
      <c r="B488" s="106"/>
      <c r="C488" s="131"/>
      <c r="D488" s="132" t="s">
        <v>174</v>
      </c>
      <c r="E488" s="108">
        <f t="shared" ref="E488:H490" si="198">E489</f>
        <v>0</v>
      </c>
      <c r="F488" s="108">
        <f t="shared" si="198"/>
        <v>0</v>
      </c>
      <c r="G488" s="108">
        <f t="shared" si="198"/>
        <v>0</v>
      </c>
      <c r="H488" s="108">
        <f t="shared" si="198"/>
        <v>0</v>
      </c>
      <c r="I488" s="598">
        <f t="shared" si="183"/>
        <v>0</v>
      </c>
      <c r="J488" s="598">
        <f t="shared" si="184"/>
        <v>0</v>
      </c>
    </row>
    <row r="489" spans="1:10" hidden="1" x14ac:dyDescent="0.25">
      <c r="A489" s="82"/>
      <c r="B489" s="83" t="s">
        <v>196</v>
      </c>
      <c r="C489" s="84"/>
      <c r="D489" s="111" t="s">
        <v>197</v>
      </c>
      <c r="E489" s="109">
        <f t="shared" si="198"/>
        <v>0</v>
      </c>
      <c r="F489" s="109">
        <f t="shared" si="198"/>
        <v>0</v>
      </c>
      <c r="G489" s="109">
        <f t="shared" si="198"/>
        <v>0</v>
      </c>
      <c r="H489" s="109">
        <f t="shared" si="198"/>
        <v>0</v>
      </c>
      <c r="I489" s="594">
        <f t="shared" si="183"/>
        <v>0</v>
      </c>
      <c r="J489" s="594">
        <f t="shared" si="184"/>
        <v>0</v>
      </c>
    </row>
    <row r="490" spans="1:10" hidden="1" x14ac:dyDescent="0.25">
      <c r="A490" s="82"/>
      <c r="B490" s="87" t="s">
        <v>198</v>
      </c>
      <c r="C490" s="82"/>
      <c r="D490" s="82" t="s">
        <v>199</v>
      </c>
      <c r="E490" s="52">
        <f t="shared" si="198"/>
        <v>0</v>
      </c>
      <c r="F490" s="52">
        <f t="shared" si="198"/>
        <v>0</v>
      </c>
      <c r="G490" s="52">
        <f t="shared" si="198"/>
        <v>0</v>
      </c>
      <c r="H490" s="52">
        <f t="shared" si="198"/>
        <v>0</v>
      </c>
      <c r="I490" s="591">
        <f t="shared" si="183"/>
        <v>0</v>
      </c>
      <c r="J490" s="591">
        <f t="shared" si="184"/>
        <v>0</v>
      </c>
    </row>
    <row r="491" spans="1:10" hidden="1" x14ac:dyDescent="0.25">
      <c r="A491" s="82"/>
      <c r="B491" s="88" t="s">
        <v>200</v>
      </c>
      <c r="C491" s="57"/>
      <c r="D491" s="57" t="s">
        <v>199</v>
      </c>
      <c r="E491" s="89"/>
      <c r="F491" s="89"/>
      <c r="G491" s="89"/>
      <c r="H491" s="89"/>
      <c r="I491" s="585">
        <f t="shared" si="183"/>
        <v>0</v>
      </c>
      <c r="J491" s="585">
        <f t="shared" si="184"/>
        <v>0</v>
      </c>
    </row>
    <row r="492" spans="1:10" hidden="1" x14ac:dyDescent="0.25">
      <c r="A492" s="136"/>
      <c r="B492" s="137"/>
      <c r="C492" s="160">
        <v>52</v>
      </c>
      <c r="D492" s="161" t="s">
        <v>227</v>
      </c>
      <c r="E492" s="162">
        <f>E468+E488</f>
        <v>0</v>
      </c>
      <c r="F492" s="162">
        <f>F468+F488</f>
        <v>0</v>
      </c>
      <c r="G492" s="162">
        <f>G468+G488</f>
        <v>0</v>
      </c>
      <c r="H492" s="162">
        <f t="shared" ref="H492" si="199">H468+H488</f>
        <v>0</v>
      </c>
      <c r="I492" s="613">
        <f t="shared" si="183"/>
        <v>0</v>
      </c>
      <c r="J492" s="613">
        <f t="shared" si="184"/>
        <v>0</v>
      </c>
    </row>
    <row r="493" spans="1:10" x14ac:dyDescent="0.25">
      <c r="A493" s="79" t="s">
        <v>86</v>
      </c>
      <c r="B493" s="79"/>
      <c r="C493" s="80"/>
      <c r="D493" s="72" t="s">
        <v>87</v>
      </c>
      <c r="E493" s="168">
        <f>E494</f>
        <v>3957.25</v>
      </c>
      <c r="F493" s="168">
        <f>F494</f>
        <v>20810</v>
      </c>
      <c r="G493" s="168">
        <f>G494</f>
        <v>20810</v>
      </c>
      <c r="H493" s="168">
        <f>H494</f>
        <v>0</v>
      </c>
      <c r="I493" s="619">
        <f t="shared" si="183"/>
        <v>0</v>
      </c>
      <c r="J493" s="619">
        <f t="shared" si="184"/>
        <v>0</v>
      </c>
    </row>
    <row r="494" spans="1:10" x14ac:dyDescent="0.25">
      <c r="A494" s="82"/>
      <c r="B494" s="83">
        <v>32</v>
      </c>
      <c r="C494" s="84"/>
      <c r="D494" s="85" t="s">
        <v>102</v>
      </c>
      <c r="E494" s="109">
        <f>E495+E500+E503</f>
        <v>3957.25</v>
      </c>
      <c r="F494" s="109">
        <f>F495+F500+F503</f>
        <v>20810</v>
      </c>
      <c r="G494" s="109">
        <f>G495+G500+G503</f>
        <v>20810</v>
      </c>
      <c r="H494" s="109">
        <f>H495+H500+H503</f>
        <v>0</v>
      </c>
      <c r="I494" s="594">
        <f t="shared" si="183"/>
        <v>0</v>
      </c>
      <c r="J494" s="594">
        <f t="shared" si="184"/>
        <v>0</v>
      </c>
    </row>
    <row r="495" spans="1:10" x14ac:dyDescent="0.25">
      <c r="A495" s="82"/>
      <c r="B495" s="87">
        <v>321</v>
      </c>
      <c r="C495" s="82"/>
      <c r="D495" s="82" t="s">
        <v>103</v>
      </c>
      <c r="E495" s="52">
        <f>E496+E499</f>
        <v>3957.25</v>
      </c>
      <c r="F495" s="52">
        <f>F496+F499</f>
        <v>1000</v>
      </c>
      <c r="G495" s="52">
        <f>G496+G499</f>
        <v>1000</v>
      </c>
      <c r="H495" s="52">
        <f>H496+H499</f>
        <v>0</v>
      </c>
      <c r="I495" s="591">
        <f t="shared" si="183"/>
        <v>0</v>
      </c>
      <c r="J495" s="591">
        <f t="shared" si="184"/>
        <v>0</v>
      </c>
    </row>
    <row r="496" spans="1:10" x14ac:dyDescent="0.25">
      <c r="A496" s="82"/>
      <c r="B496" s="88" t="s">
        <v>104</v>
      </c>
      <c r="C496" s="57"/>
      <c r="D496" s="57" t="s">
        <v>105</v>
      </c>
      <c r="E496" s="52">
        <f>SUM(E497:E498)</f>
        <v>3957.25</v>
      </c>
      <c r="F496" s="52">
        <f>SUM(F497:F498)</f>
        <v>1000</v>
      </c>
      <c r="G496" s="52">
        <f>SUM(G497:G498)</f>
        <v>1000</v>
      </c>
      <c r="H496" s="52">
        <f>SUM(H497:H498)</f>
        <v>0</v>
      </c>
      <c r="I496" s="591">
        <f t="shared" si="183"/>
        <v>0</v>
      </c>
      <c r="J496" s="591">
        <f t="shared" si="184"/>
        <v>0</v>
      </c>
    </row>
    <row r="497" spans="1:10" x14ac:dyDescent="0.25">
      <c r="A497" s="82"/>
      <c r="B497" s="88" t="s">
        <v>506</v>
      </c>
      <c r="C497" s="57"/>
      <c r="D497" s="57" t="s">
        <v>387</v>
      </c>
      <c r="E497" s="89">
        <f>'Rekapitulacija Posebni dio'!C366</f>
        <v>2957.25</v>
      </c>
      <c r="F497" s="89">
        <f>'Rekapitulacija Posebni dio'!D366</f>
        <v>500</v>
      </c>
      <c r="G497" s="89">
        <f>'Rekapitulacija Posebni dio'!E366</f>
        <v>500</v>
      </c>
      <c r="H497" s="89">
        <f>'Rekapitulacija Posebni dio'!F366</f>
        <v>0</v>
      </c>
      <c r="I497" s="585">
        <f t="shared" si="183"/>
        <v>0</v>
      </c>
      <c r="J497" s="585">
        <f t="shared" si="184"/>
        <v>0</v>
      </c>
    </row>
    <row r="498" spans="1:10" x14ac:dyDescent="0.25">
      <c r="A498" s="57"/>
      <c r="B498" s="88" t="s">
        <v>495</v>
      </c>
      <c r="C498" s="57"/>
      <c r="D498" s="57" t="s">
        <v>390</v>
      </c>
      <c r="E498" s="89">
        <f>'Rekapitulacija Posebni dio'!C367</f>
        <v>1000</v>
      </c>
      <c r="F498" s="89">
        <f>'Rekapitulacija Posebni dio'!D367</f>
        <v>500</v>
      </c>
      <c r="G498" s="89">
        <f>'Rekapitulacija Posebni dio'!E367</f>
        <v>500</v>
      </c>
      <c r="H498" s="89">
        <f>'Rekapitulacija Posebni dio'!F367</f>
        <v>0</v>
      </c>
      <c r="I498" s="585">
        <f t="shared" si="183"/>
        <v>0</v>
      </c>
      <c r="J498" s="585">
        <f t="shared" si="184"/>
        <v>0</v>
      </c>
    </row>
    <row r="499" spans="1:10" hidden="1" x14ac:dyDescent="0.25">
      <c r="A499" s="57"/>
      <c r="B499" s="87" t="s">
        <v>108</v>
      </c>
      <c r="C499" s="82"/>
      <c r="D499" s="82" t="s">
        <v>109</v>
      </c>
      <c r="E499" s="52"/>
      <c r="F499" s="52"/>
      <c r="G499" s="52"/>
      <c r="H499" s="52"/>
      <c r="I499" s="591">
        <f t="shared" si="183"/>
        <v>0</v>
      </c>
      <c r="J499" s="591">
        <f t="shared" si="184"/>
        <v>0</v>
      </c>
    </row>
    <row r="500" spans="1:10" s="64" customFormat="1" ht="14.25" x14ac:dyDescent="0.25">
      <c r="A500" s="82"/>
      <c r="B500" s="87" t="s">
        <v>112</v>
      </c>
      <c r="C500" s="82"/>
      <c r="D500" s="82" t="s">
        <v>113</v>
      </c>
      <c r="E500" s="52">
        <f>E501</f>
        <v>0</v>
      </c>
      <c r="F500" s="52">
        <f>F501</f>
        <v>9950</v>
      </c>
      <c r="G500" s="52">
        <f t="shared" ref="G500:H501" si="200">G501</f>
        <v>9950</v>
      </c>
      <c r="H500" s="52">
        <f t="shared" si="200"/>
        <v>0</v>
      </c>
      <c r="I500" s="591">
        <f t="shared" si="183"/>
        <v>0</v>
      </c>
      <c r="J500" s="591">
        <f t="shared" si="184"/>
        <v>0</v>
      </c>
    </row>
    <row r="501" spans="1:10" x14ac:dyDescent="0.25">
      <c r="A501" s="57"/>
      <c r="B501" s="169" t="s">
        <v>120</v>
      </c>
      <c r="C501" s="170"/>
      <c r="D501" s="171" t="s">
        <v>121</v>
      </c>
      <c r="E501" s="52">
        <f>E502</f>
        <v>0</v>
      </c>
      <c r="F501" s="52">
        <f>F502</f>
        <v>9950</v>
      </c>
      <c r="G501" s="52">
        <f t="shared" si="200"/>
        <v>9950</v>
      </c>
      <c r="H501" s="52">
        <f t="shared" si="200"/>
        <v>0</v>
      </c>
      <c r="I501" s="591">
        <f t="shared" si="183"/>
        <v>0</v>
      </c>
      <c r="J501" s="591">
        <f t="shared" si="184"/>
        <v>0</v>
      </c>
    </row>
    <row r="502" spans="1:10" x14ac:dyDescent="0.25">
      <c r="A502" s="57"/>
      <c r="B502" s="172" t="s">
        <v>522</v>
      </c>
      <c r="C502" s="173"/>
      <c r="D502" s="174" t="s">
        <v>534</v>
      </c>
      <c r="E502" s="89">
        <f>'Rekapitulacija Posebni dio'!C786</f>
        <v>0</v>
      </c>
      <c r="F502" s="89">
        <f>'Rekapitulacija Posebni dio'!D786</f>
        <v>9950</v>
      </c>
      <c r="G502" s="89">
        <f>'Rekapitulacija Posebni dio'!E786</f>
        <v>9950</v>
      </c>
      <c r="H502" s="89">
        <f>'Rekapitulacija Posebni dio'!F786</f>
        <v>0</v>
      </c>
      <c r="I502" s="585">
        <f t="shared" si="183"/>
        <v>0</v>
      </c>
      <c r="J502" s="585">
        <f t="shared" si="184"/>
        <v>0</v>
      </c>
    </row>
    <row r="503" spans="1:10" x14ac:dyDescent="0.25">
      <c r="A503" s="57"/>
      <c r="B503" s="175" t="s">
        <v>126</v>
      </c>
      <c r="C503" s="176"/>
      <c r="D503" s="95" t="s">
        <v>127</v>
      </c>
      <c r="E503" s="52">
        <f>E504</f>
        <v>0</v>
      </c>
      <c r="F503" s="52">
        <f>F504</f>
        <v>9860</v>
      </c>
      <c r="G503" s="52">
        <f t="shared" ref="G503:H504" si="201">G504</f>
        <v>9860</v>
      </c>
      <c r="H503" s="52">
        <f t="shared" si="201"/>
        <v>0</v>
      </c>
      <c r="I503" s="591">
        <f t="shared" si="183"/>
        <v>0</v>
      </c>
      <c r="J503" s="591">
        <f t="shared" si="184"/>
        <v>0</v>
      </c>
    </row>
    <row r="504" spans="1:10" x14ac:dyDescent="0.25">
      <c r="A504" s="57"/>
      <c r="B504" s="175" t="s">
        <v>130</v>
      </c>
      <c r="C504" s="176"/>
      <c r="D504" s="95" t="s">
        <v>131</v>
      </c>
      <c r="E504" s="52">
        <f>E505</f>
        <v>0</v>
      </c>
      <c r="F504" s="52">
        <f>F505</f>
        <v>9860</v>
      </c>
      <c r="G504" s="52">
        <f t="shared" si="201"/>
        <v>9860</v>
      </c>
      <c r="H504" s="52">
        <f t="shared" si="201"/>
        <v>0</v>
      </c>
      <c r="I504" s="591">
        <f t="shared" si="183"/>
        <v>0</v>
      </c>
      <c r="J504" s="591">
        <f t="shared" si="184"/>
        <v>0</v>
      </c>
    </row>
    <row r="505" spans="1:10" x14ac:dyDescent="0.25">
      <c r="A505" s="57"/>
      <c r="B505" s="177" t="s">
        <v>510</v>
      </c>
      <c r="C505" s="176"/>
      <c r="D505" s="96" t="s">
        <v>413</v>
      </c>
      <c r="E505" s="89">
        <f>'Rekapitulacija Posebni dio'!C789</f>
        <v>0</v>
      </c>
      <c r="F505" s="89">
        <f>'Rekapitulacija Posebni dio'!D789</f>
        <v>9860</v>
      </c>
      <c r="G505" s="89">
        <f>'Rekapitulacija Posebni dio'!E789</f>
        <v>9860</v>
      </c>
      <c r="H505" s="89">
        <f>'Rekapitulacija Posebni dio'!F789</f>
        <v>0</v>
      </c>
      <c r="I505" s="585">
        <f t="shared" si="183"/>
        <v>0</v>
      </c>
      <c r="J505" s="585">
        <f t="shared" si="184"/>
        <v>0</v>
      </c>
    </row>
    <row r="506" spans="1:10" x14ac:dyDescent="0.25">
      <c r="A506" s="178">
        <v>4</v>
      </c>
      <c r="B506" s="179"/>
      <c r="C506" s="180"/>
      <c r="D506" s="132" t="s">
        <v>174</v>
      </c>
      <c r="E506" s="108">
        <f>E507+E513</f>
        <v>0</v>
      </c>
      <c r="F506" s="108">
        <f>F507+F513</f>
        <v>29690</v>
      </c>
      <c r="G506" s="108">
        <f t="shared" ref="G506:H506" si="202">G507+G513</f>
        <v>29690</v>
      </c>
      <c r="H506" s="108">
        <f t="shared" si="202"/>
        <v>0</v>
      </c>
      <c r="I506" s="598">
        <f t="shared" si="183"/>
        <v>0</v>
      </c>
      <c r="J506" s="598">
        <f t="shared" si="184"/>
        <v>0</v>
      </c>
    </row>
    <row r="507" spans="1:10" hidden="1" x14ac:dyDescent="0.25">
      <c r="A507" s="181"/>
      <c r="B507" s="83">
        <v>42</v>
      </c>
      <c r="C507" s="84"/>
      <c r="D507" s="85" t="s">
        <v>183</v>
      </c>
      <c r="E507" s="109">
        <f t="shared" ref="E507:H507" si="203">E508</f>
        <v>0</v>
      </c>
      <c r="F507" s="109">
        <f t="shared" si="203"/>
        <v>0</v>
      </c>
      <c r="G507" s="109">
        <f t="shared" si="203"/>
        <v>0</v>
      </c>
      <c r="H507" s="109">
        <f t="shared" si="203"/>
        <v>0</v>
      </c>
      <c r="I507" s="594">
        <f t="shared" si="183"/>
        <v>0</v>
      </c>
      <c r="J507" s="594">
        <f t="shared" si="184"/>
        <v>0</v>
      </c>
    </row>
    <row r="508" spans="1:10" hidden="1" x14ac:dyDescent="0.25">
      <c r="A508" s="182"/>
      <c r="B508" s="87">
        <v>422</v>
      </c>
      <c r="C508" s="82"/>
      <c r="D508" s="82" t="s">
        <v>184</v>
      </c>
      <c r="E508" s="183">
        <f>SUM(E509:E511)</f>
        <v>0</v>
      </c>
      <c r="F508" s="183">
        <f>SUM(F509:F511)</f>
        <v>0</v>
      </c>
      <c r="G508" s="183">
        <f>SUM(G509:G511)</f>
        <v>0</v>
      </c>
      <c r="H508" s="183">
        <f t="shared" ref="H508" si="204">SUM(H509:H511)</f>
        <v>0</v>
      </c>
      <c r="I508" s="592">
        <f t="shared" si="183"/>
        <v>0</v>
      </c>
      <c r="J508" s="592">
        <f t="shared" si="184"/>
        <v>0</v>
      </c>
    </row>
    <row r="509" spans="1:10" hidden="1" x14ac:dyDescent="0.25">
      <c r="A509" s="184"/>
      <c r="B509" s="88" t="s">
        <v>185</v>
      </c>
      <c r="C509" s="57"/>
      <c r="D509" s="57" t="s">
        <v>186</v>
      </c>
      <c r="E509" s="185"/>
      <c r="F509" s="185"/>
      <c r="G509" s="185"/>
      <c r="H509" s="185"/>
      <c r="I509" s="593">
        <f t="shared" si="183"/>
        <v>0</v>
      </c>
      <c r="J509" s="593">
        <f t="shared" si="184"/>
        <v>0</v>
      </c>
    </row>
    <row r="510" spans="1:10" hidden="1" x14ac:dyDescent="0.25">
      <c r="A510" s="184"/>
      <c r="B510" s="88" t="s">
        <v>228</v>
      </c>
      <c r="C510" s="57"/>
      <c r="D510" s="57" t="s">
        <v>189</v>
      </c>
      <c r="E510" s="185"/>
      <c r="F510" s="185"/>
      <c r="G510" s="185"/>
      <c r="H510" s="185"/>
      <c r="I510" s="593">
        <f t="shared" si="183"/>
        <v>0</v>
      </c>
      <c r="J510" s="593">
        <f t="shared" si="184"/>
        <v>0</v>
      </c>
    </row>
    <row r="511" spans="1:10" hidden="1" x14ac:dyDescent="0.25">
      <c r="A511" s="182"/>
      <c r="B511" s="88" t="s">
        <v>229</v>
      </c>
      <c r="C511" s="57"/>
      <c r="D511" s="57" t="s">
        <v>190</v>
      </c>
      <c r="E511" s="185"/>
      <c r="F511" s="185"/>
      <c r="G511" s="185"/>
      <c r="H511" s="185"/>
      <c r="I511" s="593">
        <f t="shared" si="183"/>
        <v>0</v>
      </c>
      <c r="J511" s="593">
        <f t="shared" si="184"/>
        <v>0</v>
      </c>
    </row>
    <row r="512" spans="1:10" hidden="1" x14ac:dyDescent="0.25">
      <c r="A512" s="182"/>
      <c r="B512" s="88" t="s">
        <v>230</v>
      </c>
      <c r="C512" s="57"/>
      <c r="D512" s="57" t="s">
        <v>191</v>
      </c>
      <c r="E512" s="185"/>
      <c r="F512" s="185"/>
      <c r="G512" s="185"/>
      <c r="H512" s="185"/>
      <c r="I512" s="593">
        <f t="shared" si="183"/>
        <v>0</v>
      </c>
      <c r="J512" s="593">
        <f t="shared" si="184"/>
        <v>0</v>
      </c>
    </row>
    <row r="513" spans="1:10" x14ac:dyDescent="0.25">
      <c r="A513" s="182"/>
      <c r="B513" s="83" t="s">
        <v>196</v>
      </c>
      <c r="C513" s="84"/>
      <c r="D513" s="111" t="s">
        <v>197</v>
      </c>
      <c r="E513" s="86">
        <f t="shared" ref="E513:F515" si="205">E514</f>
        <v>0</v>
      </c>
      <c r="F513" s="86">
        <f t="shared" si="205"/>
        <v>29690</v>
      </c>
      <c r="G513" s="86">
        <f t="shared" ref="G513:H515" si="206">G514</f>
        <v>29690</v>
      </c>
      <c r="H513" s="86">
        <f t="shared" si="206"/>
        <v>0</v>
      </c>
      <c r="I513" s="587">
        <f t="shared" si="183"/>
        <v>0</v>
      </c>
      <c r="J513" s="587">
        <f t="shared" si="184"/>
        <v>0</v>
      </c>
    </row>
    <row r="514" spans="1:10" x14ac:dyDescent="0.25">
      <c r="A514" s="182"/>
      <c r="B514" s="87" t="s">
        <v>198</v>
      </c>
      <c r="C514" s="57"/>
      <c r="D514" s="82" t="s">
        <v>199</v>
      </c>
      <c r="E514" s="183">
        <f t="shared" si="205"/>
        <v>0</v>
      </c>
      <c r="F514" s="183">
        <f t="shared" si="205"/>
        <v>29690</v>
      </c>
      <c r="G514" s="183">
        <f t="shared" si="206"/>
        <v>29690</v>
      </c>
      <c r="H514" s="183">
        <f t="shared" si="206"/>
        <v>0</v>
      </c>
      <c r="I514" s="592">
        <f t="shared" si="183"/>
        <v>0</v>
      </c>
      <c r="J514" s="592">
        <f t="shared" si="184"/>
        <v>0</v>
      </c>
    </row>
    <row r="515" spans="1:10" x14ac:dyDescent="0.25">
      <c r="A515" s="182"/>
      <c r="B515" s="88" t="s">
        <v>200</v>
      </c>
      <c r="C515" s="57"/>
      <c r="D515" s="57" t="s">
        <v>199</v>
      </c>
      <c r="E515" s="185">
        <f t="shared" si="205"/>
        <v>0</v>
      </c>
      <c r="F515" s="185">
        <f t="shared" si="205"/>
        <v>29690</v>
      </c>
      <c r="G515" s="185">
        <f t="shared" si="206"/>
        <v>29690</v>
      </c>
      <c r="H515" s="185">
        <f t="shared" si="206"/>
        <v>0</v>
      </c>
      <c r="I515" s="593">
        <f t="shared" si="183"/>
        <v>0</v>
      </c>
      <c r="J515" s="593">
        <f t="shared" si="184"/>
        <v>0</v>
      </c>
    </row>
    <row r="516" spans="1:10" x14ac:dyDescent="0.25">
      <c r="A516" s="182"/>
      <c r="B516" s="88" t="s">
        <v>494</v>
      </c>
      <c r="C516" s="57"/>
      <c r="D516" s="57" t="s">
        <v>199</v>
      </c>
      <c r="E516" s="185">
        <f>'Rekapitulacija Posebni dio'!C794</f>
        <v>0</v>
      </c>
      <c r="F516" s="185">
        <f>'Rekapitulacija Posebni dio'!D794</f>
        <v>29690</v>
      </c>
      <c r="G516" s="185">
        <f>'Rekapitulacija Posebni dio'!E794</f>
        <v>29690</v>
      </c>
      <c r="H516" s="185">
        <f>'Rekapitulacija Posebni dio'!F794</f>
        <v>0</v>
      </c>
      <c r="I516" s="593">
        <f t="shared" si="183"/>
        <v>0</v>
      </c>
      <c r="J516" s="593">
        <f t="shared" si="184"/>
        <v>0</v>
      </c>
    </row>
    <row r="517" spans="1:10" x14ac:dyDescent="0.25">
      <c r="A517" s="186"/>
      <c r="B517" s="187"/>
      <c r="C517" s="160" t="s">
        <v>71</v>
      </c>
      <c r="D517" s="161" t="s">
        <v>72</v>
      </c>
      <c r="E517" s="188">
        <f>E506+E493</f>
        <v>3957.25</v>
      </c>
      <c r="F517" s="188">
        <f>F506+F493</f>
        <v>50500</v>
      </c>
      <c r="G517" s="188">
        <f>G506+G493</f>
        <v>50500</v>
      </c>
      <c r="H517" s="188">
        <f>H506+H493</f>
        <v>0</v>
      </c>
      <c r="I517" s="590">
        <f t="shared" si="183"/>
        <v>0</v>
      </c>
      <c r="J517" s="590">
        <f t="shared" si="184"/>
        <v>0</v>
      </c>
    </row>
    <row r="518" spans="1:10" x14ac:dyDescent="0.25">
      <c r="A518" s="79" t="s">
        <v>86</v>
      </c>
      <c r="B518" s="79"/>
      <c r="C518" s="80"/>
      <c r="D518" s="72" t="s">
        <v>87</v>
      </c>
      <c r="E518" s="189">
        <f>SUM(E523,E520,E526)</f>
        <v>8179.48</v>
      </c>
      <c r="F518" s="189">
        <f>SUM(F523,F520,F526)</f>
        <v>0</v>
      </c>
      <c r="G518" s="189">
        <f>G519</f>
        <v>0</v>
      </c>
      <c r="H518" s="189">
        <f>H519</f>
        <v>800</v>
      </c>
      <c r="I518" s="620">
        <f t="shared" si="183"/>
        <v>800</v>
      </c>
      <c r="J518" s="620">
        <f t="shared" si="184"/>
        <v>800</v>
      </c>
    </row>
    <row r="519" spans="1:10" x14ac:dyDescent="0.25">
      <c r="A519" s="82"/>
      <c r="B519" s="83">
        <v>32</v>
      </c>
      <c r="C519" s="84"/>
      <c r="D519" s="85" t="s">
        <v>102</v>
      </c>
      <c r="E519" s="190">
        <f>E520+E523+E526</f>
        <v>8179.48</v>
      </c>
      <c r="F519" s="190">
        <f>F520+F523+F526</f>
        <v>0</v>
      </c>
      <c r="G519" s="190">
        <f>G520+G523+G526</f>
        <v>0</v>
      </c>
      <c r="H519" s="190">
        <f>H520+H523+H526</f>
        <v>800</v>
      </c>
      <c r="I519" s="621">
        <f t="shared" si="183"/>
        <v>800</v>
      </c>
      <c r="J519" s="621">
        <f t="shared" si="184"/>
        <v>800</v>
      </c>
    </row>
    <row r="520" spans="1:10" s="64" customFormat="1" ht="14.25" hidden="1" x14ac:dyDescent="0.25">
      <c r="A520" s="191"/>
      <c r="B520" s="169" t="s">
        <v>112</v>
      </c>
      <c r="C520" s="170"/>
      <c r="D520" s="171" t="s">
        <v>113</v>
      </c>
      <c r="E520" s="192">
        <f>E521</f>
        <v>0</v>
      </c>
      <c r="F520" s="192">
        <f>F521</f>
        <v>0</v>
      </c>
      <c r="G520" s="192">
        <f t="shared" ref="G520:H520" si="207">G521</f>
        <v>0</v>
      </c>
      <c r="H520" s="192">
        <f t="shared" si="207"/>
        <v>0</v>
      </c>
      <c r="I520" s="622">
        <f t="shared" si="183"/>
        <v>0</v>
      </c>
      <c r="J520" s="622">
        <f t="shared" si="184"/>
        <v>0</v>
      </c>
    </row>
    <row r="521" spans="1:10" hidden="1" x14ac:dyDescent="0.25">
      <c r="A521" s="193"/>
      <c r="B521" s="169" t="s">
        <v>120</v>
      </c>
      <c r="C521" s="170"/>
      <c r="D521" s="171" t="s">
        <v>121</v>
      </c>
      <c r="E521" s="192">
        <f>E522</f>
        <v>0</v>
      </c>
      <c r="F521" s="192">
        <f>F522</f>
        <v>0</v>
      </c>
      <c r="G521" s="192">
        <f t="shared" ref="G521:H521" si="208">G522</f>
        <v>0</v>
      </c>
      <c r="H521" s="192">
        <f t="shared" si="208"/>
        <v>0</v>
      </c>
      <c r="I521" s="622">
        <f t="shared" si="183"/>
        <v>0</v>
      </c>
      <c r="J521" s="622">
        <f t="shared" si="184"/>
        <v>0</v>
      </c>
    </row>
    <row r="522" spans="1:10" hidden="1" x14ac:dyDescent="0.25">
      <c r="A522" s="193"/>
      <c r="B522" s="172" t="s">
        <v>522</v>
      </c>
      <c r="C522" s="173"/>
      <c r="D522" s="174" t="s">
        <v>534</v>
      </c>
      <c r="E522" s="194">
        <v>0</v>
      </c>
      <c r="F522" s="194">
        <v>0</v>
      </c>
      <c r="G522" s="194"/>
      <c r="H522" s="194">
        <f>'Rekapitulacija Posebni dio'!F786</f>
        <v>0</v>
      </c>
      <c r="I522" s="623">
        <f t="shared" ref="I522:I543" si="209">IFERROR(H522/F522*100,H522)</f>
        <v>0</v>
      </c>
      <c r="J522" s="623">
        <f t="shared" ref="J522:J543" si="210">IFERROR(H522/G522*100,H522)</f>
        <v>0</v>
      </c>
    </row>
    <row r="523" spans="1:10" hidden="1" x14ac:dyDescent="0.25">
      <c r="A523" s="186"/>
      <c r="B523" s="175" t="s">
        <v>126</v>
      </c>
      <c r="C523" s="176"/>
      <c r="D523" s="95" t="s">
        <v>127</v>
      </c>
      <c r="E523" s="192">
        <f>SUM(E524)</f>
        <v>0</v>
      </c>
      <c r="F523" s="192">
        <f>SUM(F524)</f>
        <v>0</v>
      </c>
      <c r="G523" s="192">
        <f>SUM(G524)</f>
        <v>0</v>
      </c>
      <c r="H523" s="192">
        <f t="shared" ref="H523" si="211">SUM(H524)</f>
        <v>0</v>
      </c>
      <c r="I523" s="622">
        <f t="shared" si="209"/>
        <v>0</v>
      </c>
      <c r="J523" s="622">
        <f t="shared" si="210"/>
        <v>0</v>
      </c>
    </row>
    <row r="524" spans="1:10" hidden="1" x14ac:dyDescent="0.25">
      <c r="A524" s="186"/>
      <c r="B524" s="175" t="s">
        <v>130</v>
      </c>
      <c r="C524" s="176"/>
      <c r="D524" s="95" t="s">
        <v>131</v>
      </c>
      <c r="E524" s="192">
        <f>E525</f>
        <v>0</v>
      </c>
      <c r="F524" s="192">
        <f>F525</f>
        <v>0</v>
      </c>
      <c r="G524" s="192">
        <f t="shared" ref="G524:H524" si="212">G525</f>
        <v>0</v>
      </c>
      <c r="H524" s="192">
        <f t="shared" si="212"/>
        <v>0</v>
      </c>
      <c r="I524" s="622">
        <f t="shared" si="209"/>
        <v>0</v>
      </c>
      <c r="J524" s="622">
        <f t="shared" si="210"/>
        <v>0</v>
      </c>
    </row>
    <row r="525" spans="1:10" hidden="1" x14ac:dyDescent="0.25">
      <c r="A525" s="186"/>
      <c r="B525" s="177" t="s">
        <v>510</v>
      </c>
      <c r="C525" s="176"/>
      <c r="D525" s="96" t="s">
        <v>413</v>
      </c>
      <c r="E525" s="194">
        <v>0</v>
      </c>
      <c r="F525" s="194">
        <v>0</v>
      </c>
      <c r="G525" s="194"/>
      <c r="H525" s="194">
        <f>'Rekapitulacija Posebni dio'!F789</f>
        <v>0</v>
      </c>
      <c r="I525" s="623">
        <f t="shared" si="209"/>
        <v>0</v>
      </c>
      <c r="J525" s="623">
        <f t="shared" si="210"/>
        <v>0</v>
      </c>
    </row>
    <row r="526" spans="1:10" s="64" customFormat="1" x14ac:dyDescent="0.25">
      <c r="A526" s="186"/>
      <c r="B526" s="175" t="s">
        <v>219</v>
      </c>
      <c r="C526" s="176"/>
      <c r="D526" s="95" t="s">
        <v>220</v>
      </c>
      <c r="E526" s="192">
        <f>E528</f>
        <v>8179.48</v>
      </c>
      <c r="F526" s="192">
        <f>F528</f>
        <v>0</v>
      </c>
      <c r="G526" s="192">
        <f>G528</f>
        <v>0</v>
      </c>
      <c r="H526" s="192">
        <f>H527</f>
        <v>800</v>
      </c>
      <c r="I526" s="622">
        <f t="shared" si="209"/>
        <v>800</v>
      </c>
      <c r="J526" s="622">
        <f t="shared" si="210"/>
        <v>800</v>
      </c>
    </row>
    <row r="527" spans="1:10" s="64" customFormat="1" x14ac:dyDescent="0.25">
      <c r="A527" s="186"/>
      <c r="B527" s="175" t="s">
        <v>231</v>
      </c>
      <c r="C527" s="176"/>
      <c r="D527" s="95" t="s">
        <v>147</v>
      </c>
      <c r="E527" s="192"/>
      <c r="F527" s="192"/>
      <c r="G527" s="192"/>
      <c r="H527" s="192">
        <f>H528</f>
        <v>800</v>
      </c>
      <c r="I527" s="622">
        <f t="shared" si="209"/>
        <v>800</v>
      </c>
      <c r="J527" s="622">
        <f t="shared" si="210"/>
        <v>800</v>
      </c>
    </row>
    <row r="528" spans="1:10" x14ac:dyDescent="0.25">
      <c r="A528" s="186"/>
      <c r="B528" s="177" t="s">
        <v>501</v>
      </c>
      <c r="C528" s="176"/>
      <c r="D528" s="96" t="s">
        <v>502</v>
      </c>
      <c r="E528" s="194">
        <f>'Rekapitulacija Posebni dio'!C387</f>
        <v>8179.48</v>
      </c>
      <c r="F528" s="194">
        <f>'Rekapitulacija Posebni dio'!D387</f>
        <v>0</v>
      </c>
      <c r="G528" s="194">
        <f>'Rekapitulacija Posebni dio'!E387</f>
        <v>0</v>
      </c>
      <c r="H528" s="194">
        <f>'Rekapitulacija Posebni dio'!F387</f>
        <v>800</v>
      </c>
      <c r="I528" s="623">
        <f t="shared" si="209"/>
        <v>800</v>
      </c>
      <c r="J528" s="623">
        <f t="shared" si="210"/>
        <v>800</v>
      </c>
    </row>
    <row r="529" spans="1:10" s="199" customFormat="1" x14ac:dyDescent="0.25">
      <c r="A529" s="195">
        <v>4</v>
      </c>
      <c r="B529" s="196"/>
      <c r="C529" s="196"/>
      <c r="D529" s="197" t="s">
        <v>174</v>
      </c>
      <c r="E529" s="198">
        <f>E530</f>
        <v>618.75</v>
      </c>
      <c r="F529" s="198">
        <f>F530</f>
        <v>5500</v>
      </c>
      <c r="G529" s="198">
        <f>G530</f>
        <v>5500</v>
      </c>
      <c r="H529" s="198">
        <f t="shared" ref="H529" si="213">H530</f>
        <v>0</v>
      </c>
      <c r="I529" s="624">
        <f t="shared" si="209"/>
        <v>0</v>
      </c>
      <c r="J529" s="624">
        <f t="shared" si="210"/>
        <v>0</v>
      </c>
    </row>
    <row r="530" spans="1:10" x14ac:dyDescent="0.25">
      <c r="A530" s="82"/>
      <c r="B530" s="83">
        <v>42</v>
      </c>
      <c r="C530" s="84"/>
      <c r="D530" s="85" t="s">
        <v>183</v>
      </c>
      <c r="E530" s="86">
        <f>SUM(E533,E531)</f>
        <v>618.75</v>
      </c>
      <c r="F530" s="86">
        <f>SUM(F533,F531)</f>
        <v>5500</v>
      </c>
      <c r="G530" s="86">
        <f>SUM(G533,G531)</f>
        <v>5500</v>
      </c>
      <c r="H530" s="86">
        <f t="shared" ref="H530" si="214">SUM(H533,H531)</f>
        <v>0</v>
      </c>
      <c r="I530" s="587">
        <f t="shared" si="209"/>
        <v>0</v>
      </c>
      <c r="J530" s="587">
        <f t="shared" si="210"/>
        <v>0</v>
      </c>
    </row>
    <row r="531" spans="1:10" x14ac:dyDescent="0.25">
      <c r="A531" s="82"/>
      <c r="B531" s="87" t="s">
        <v>206</v>
      </c>
      <c r="C531" s="82"/>
      <c r="D531" s="95" t="s">
        <v>207</v>
      </c>
      <c r="E531" s="52">
        <f>E532</f>
        <v>0</v>
      </c>
      <c r="F531" s="52">
        <f>F532</f>
        <v>0</v>
      </c>
      <c r="G531" s="52">
        <f>G532</f>
        <v>0</v>
      </c>
      <c r="H531" s="52">
        <f t="shared" ref="H531" si="215">H532</f>
        <v>0</v>
      </c>
      <c r="I531" s="591">
        <f t="shared" si="209"/>
        <v>0</v>
      </c>
      <c r="J531" s="591">
        <f t="shared" si="210"/>
        <v>0</v>
      </c>
    </row>
    <row r="532" spans="1:10" x14ac:dyDescent="0.25">
      <c r="A532" s="57"/>
      <c r="B532" s="88" t="s">
        <v>208</v>
      </c>
      <c r="C532" s="57"/>
      <c r="D532" s="96" t="s">
        <v>209</v>
      </c>
      <c r="E532" s="89"/>
      <c r="F532" s="89"/>
      <c r="G532" s="89"/>
      <c r="H532" s="89"/>
      <c r="I532" s="585">
        <f t="shared" si="209"/>
        <v>0</v>
      </c>
      <c r="J532" s="585">
        <f t="shared" si="210"/>
        <v>0</v>
      </c>
    </row>
    <row r="533" spans="1:10" x14ac:dyDescent="0.25">
      <c r="A533" s="200"/>
      <c r="B533" s="87">
        <v>422</v>
      </c>
      <c r="C533" s="82"/>
      <c r="D533" s="82" t="s">
        <v>184</v>
      </c>
      <c r="E533" s="183">
        <f t="shared" ref="E533:G534" si="216">SUM(E534)</f>
        <v>618.75</v>
      </c>
      <c r="F533" s="183">
        <f t="shared" si="216"/>
        <v>5500</v>
      </c>
      <c r="G533" s="183">
        <f t="shared" si="216"/>
        <v>5500</v>
      </c>
      <c r="H533" s="183">
        <f t="shared" ref="H533:H534" si="217">SUM(H534)</f>
        <v>0</v>
      </c>
      <c r="I533" s="592">
        <f t="shared" si="209"/>
        <v>0</v>
      </c>
      <c r="J533" s="592">
        <f t="shared" si="210"/>
        <v>0</v>
      </c>
    </row>
    <row r="534" spans="1:10" x14ac:dyDescent="0.25">
      <c r="A534" s="200"/>
      <c r="B534" s="87" t="s">
        <v>229</v>
      </c>
      <c r="C534" s="82"/>
      <c r="D534" s="82" t="s">
        <v>190</v>
      </c>
      <c r="E534" s="183">
        <f t="shared" si="216"/>
        <v>618.75</v>
      </c>
      <c r="F534" s="183">
        <f t="shared" si="216"/>
        <v>5500</v>
      </c>
      <c r="G534" s="183">
        <f t="shared" si="216"/>
        <v>5500</v>
      </c>
      <c r="H534" s="183">
        <f t="shared" si="217"/>
        <v>0</v>
      </c>
      <c r="I534" s="592">
        <f t="shared" si="209"/>
        <v>0</v>
      </c>
      <c r="J534" s="592">
        <f t="shared" si="210"/>
        <v>0</v>
      </c>
    </row>
    <row r="535" spans="1:10" x14ac:dyDescent="0.25">
      <c r="A535" s="201"/>
      <c r="B535" s="88" t="s">
        <v>503</v>
      </c>
      <c r="C535" s="57"/>
      <c r="D535" s="42" t="s">
        <v>449</v>
      </c>
      <c r="E535" s="185">
        <f>'Rekapitulacija Posebni dio'!C396</f>
        <v>618.75</v>
      </c>
      <c r="F535" s="185">
        <f>'Rekapitulacija Posebni dio'!D396</f>
        <v>5500</v>
      </c>
      <c r="G535" s="185">
        <f>'Rekapitulacija Posebni dio'!E396</f>
        <v>5500</v>
      </c>
      <c r="H535" s="185">
        <f>'Rekapitulacija Posebni dio'!F396</f>
        <v>0</v>
      </c>
      <c r="I535" s="593">
        <f t="shared" si="209"/>
        <v>0</v>
      </c>
      <c r="J535" s="593">
        <f t="shared" si="210"/>
        <v>0</v>
      </c>
    </row>
    <row r="536" spans="1:10" s="64" customFormat="1" ht="14.25" x14ac:dyDescent="0.25">
      <c r="A536" s="202"/>
      <c r="B536" s="203" t="s">
        <v>232</v>
      </c>
      <c r="C536" s="204"/>
      <c r="D536" s="204" t="s">
        <v>194</v>
      </c>
      <c r="E536" s="205">
        <f>E537</f>
        <v>0</v>
      </c>
      <c r="F536" s="205">
        <f>F537</f>
        <v>0</v>
      </c>
      <c r="G536" s="205">
        <f>G537</f>
        <v>0</v>
      </c>
      <c r="H536" s="205">
        <f t="shared" ref="H536" si="218">H537</f>
        <v>0</v>
      </c>
      <c r="I536" s="625">
        <f t="shared" si="209"/>
        <v>0</v>
      </c>
      <c r="J536" s="625">
        <f t="shared" si="210"/>
        <v>0</v>
      </c>
    </row>
    <row r="537" spans="1:10" x14ac:dyDescent="0.25">
      <c r="A537" s="206"/>
      <c r="B537" s="207" t="s">
        <v>233</v>
      </c>
      <c r="C537" s="208"/>
      <c r="D537" s="208" t="s">
        <v>195</v>
      </c>
      <c r="E537" s="209"/>
      <c r="F537" s="209"/>
      <c r="G537" s="209"/>
      <c r="H537" s="209"/>
      <c r="I537" s="626">
        <f t="shared" si="209"/>
        <v>0</v>
      </c>
      <c r="J537" s="626">
        <f t="shared" si="210"/>
        <v>0</v>
      </c>
    </row>
    <row r="538" spans="1:10" x14ac:dyDescent="0.25">
      <c r="A538" s="206"/>
      <c r="B538" s="83" t="s">
        <v>196</v>
      </c>
      <c r="C538" s="84"/>
      <c r="D538" s="111" t="s">
        <v>197</v>
      </c>
      <c r="E538" s="210">
        <f t="shared" ref="E538:F540" si="219">E539</f>
        <v>0</v>
      </c>
      <c r="F538" s="210">
        <f t="shared" si="219"/>
        <v>0</v>
      </c>
      <c r="G538" s="210">
        <f t="shared" ref="G538:H540" si="220">G539</f>
        <v>0</v>
      </c>
      <c r="H538" s="210">
        <f t="shared" si="220"/>
        <v>0</v>
      </c>
      <c r="I538" s="627">
        <f t="shared" si="209"/>
        <v>0</v>
      </c>
      <c r="J538" s="627">
        <f t="shared" si="210"/>
        <v>0</v>
      </c>
    </row>
    <row r="539" spans="1:10" hidden="1" x14ac:dyDescent="0.25">
      <c r="A539" s="206"/>
      <c r="B539" s="87" t="s">
        <v>198</v>
      </c>
      <c r="C539" s="57"/>
      <c r="D539" s="82" t="s">
        <v>199</v>
      </c>
      <c r="E539" s="209">
        <f t="shared" si="219"/>
        <v>0</v>
      </c>
      <c r="F539" s="209">
        <f t="shared" si="219"/>
        <v>0</v>
      </c>
      <c r="G539" s="209">
        <f t="shared" si="220"/>
        <v>0</v>
      </c>
      <c r="H539" s="209">
        <f t="shared" si="220"/>
        <v>0</v>
      </c>
      <c r="I539" s="626">
        <f t="shared" si="209"/>
        <v>0</v>
      </c>
      <c r="J539" s="626">
        <f t="shared" si="210"/>
        <v>0</v>
      </c>
    </row>
    <row r="540" spans="1:10" hidden="1" x14ac:dyDescent="0.25">
      <c r="A540" s="206"/>
      <c r="B540" s="88" t="s">
        <v>200</v>
      </c>
      <c r="C540" s="57"/>
      <c r="D540" s="57" t="s">
        <v>199</v>
      </c>
      <c r="E540" s="209">
        <f t="shared" si="219"/>
        <v>0</v>
      </c>
      <c r="F540" s="209">
        <f t="shared" si="219"/>
        <v>0</v>
      </c>
      <c r="G540" s="209">
        <f t="shared" si="220"/>
        <v>0</v>
      </c>
      <c r="H540" s="209">
        <f t="shared" si="220"/>
        <v>0</v>
      </c>
      <c r="I540" s="626">
        <f t="shared" si="209"/>
        <v>0</v>
      </c>
      <c r="J540" s="626">
        <f t="shared" si="210"/>
        <v>0</v>
      </c>
    </row>
    <row r="541" spans="1:10" hidden="1" x14ac:dyDescent="0.25">
      <c r="A541" s="206"/>
      <c r="B541" s="88" t="s">
        <v>494</v>
      </c>
      <c r="C541" s="57"/>
      <c r="D541" s="57" t="s">
        <v>199</v>
      </c>
      <c r="E541" s="209">
        <v>0</v>
      </c>
      <c r="F541" s="209">
        <v>0</v>
      </c>
      <c r="G541" s="209"/>
      <c r="H541" s="209">
        <f>'Rekapitulacija Posebni dio'!F794</f>
        <v>0</v>
      </c>
      <c r="I541" s="626">
        <f t="shared" si="209"/>
        <v>0</v>
      </c>
      <c r="J541" s="626">
        <f t="shared" si="210"/>
        <v>0</v>
      </c>
    </row>
    <row r="542" spans="1:10" ht="30.75" thickBot="1" x14ac:dyDescent="0.3">
      <c r="A542" s="211"/>
      <c r="B542" s="212"/>
      <c r="C542" s="213" t="s">
        <v>234</v>
      </c>
      <c r="D542" s="214" t="s">
        <v>235</v>
      </c>
      <c r="E542" s="215">
        <f>SUM(E530,E518)</f>
        <v>8798.23</v>
      </c>
      <c r="F542" s="215">
        <f>SUM(F530,F518)</f>
        <v>5500</v>
      </c>
      <c r="G542" s="215">
        <f>SUM(G530,G518)</f>
        <v>5500</v>
      </c>
      <c r="H542" s="215">
        <f>SUM(H530,H518)</f>
        <v>800</v>
      </c>
      <c r="I542" s="601">
        <f t="shared" si="209"/>
        <v>14.545454545454545</v>
      </c>
      <c r="J542" s="601">
        <f t="shared" si="210"/>
        <v>14.545454545454545</v>
      </c>
    </row>
    <row r="543" spans="1:10" ht="16.5" thickBot="1" x14ac:dyDescent="0.3">
      <c r="A543" s="815" t="s">
        <v>236</v>
      </c>
      <c r="B543" s="816"/>
      <c r="C543" s="816"/>
      <c r="D543" s="817"/>
      <c r="E543" s="217">
        <f>E11+E83+E100+E255+E290+E374+E396+E459+E468+E488+E493+E506+E518+E529</f>
        <v>5931700.1705000009</v>
      </c>
      <c r="F543" s="217">
        <f>F11+F83+F100+F255+F290+F374+F396+F459+F468+F488+F493+F506+F518+F529</f>
        <v>4725934.57</v>
      </c>
      <c r="G543" s="217">
        <f>G11+G83+G100+G255+G290+G374+G396+G459+G468+G488+G493+G506+G518+G529</f>
        <v>4763941.6500000004</v>
      </c>
      <c r="H543" s="217">
        <f>H11+H83+H100+H255+H290+H374+H396+H459+H468+H488+H493+H506+H518+H529</f>
        <v>5188831.55</v>
      </c>
      <c r="I543" s="628">
        <f t="shared" si="209"/>
        <v>109.79482413782127</v>
      </c>
      <c r="J543" s="645">
        <f t="shared" si="210"/>
        <v>108.91887288334019</v>
      </c>
    </row>
    <row r="544" spans="1:10" x14ac:dyDescent="0.25">
      <c r="D544" s="117"/>
      <c r="E544" s="218"/>
      <c r="I544" s="74"/>
      <c r="J544" s="74"/>
    </row>
    <row r="545" spans="4:10" x14ac:dyDescent="0.25">
      <c r="H545" s="220"/>
      <c r="I545" s="221"/>
      <c r="J545" s="221"/>
    </row>
    <row r="547" spans="4:10" x14ac:dyDescent="0.25">
      <c r="D547" s="222"/>
      <c r="E547" s="222"/>
      <c r="F547" s="223"/>
      <c r="G547" s="223"/>
      <c r="I547" s="224"/>
      <c r="J547" s="224"/>
    </row>
    <row r="548" spans="4:10" x14ac:dyDescent="0.25">
      <c r="D548" s="222"/>
      <c r="E548" s="222"/>
      <c r="F548" s="223"/>
      <c r="G548" s="223"/>
      <c r="H548" s="159"/>
    </row>
    <row r="549" spans="4:10" x14ac:dyDescent="0.25">
      <c r="D549" s="117"/>
      <c r="E549" s="117"/>
      <c r="F549" s="223"/>
      <c r="G549" s="223"/>
    </row>
  </sheetData>
  <mergeCells count="6">
    <mergeCell ref="A543:D543"/>
    <mergeCell ref="A1:I1"/>
    <mergeCell ref="A2:I2"/>
    <mergeCell ref="A3:I3"/>
    <mergeCell ref="A5:I5"/>
    <mergeCell ref="A7:D7"/>
  </mergeCells>
  <phoneticPr fontId="13" type="noConversion"/>
  <pageMargins left="0.7" right="0.7" top="0.75" bottom="0.75" header="0.3" footer="0.3"/>
  <pageSetup paperSize="9" scale="48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1"/>
  <sheetViews>
    <sheetView workbookViewId="0">
      <selection sqref="A1:XFD1048576"/>
    </sheetView>
  </sheetViews>
  <sheetFormatPr defaultRowHeight="15.75" x14ac:dyDescent="0.25"/>
  <cols>
    <col min="1" max="1" width="28.42578125" style="406" bestFit="1" customWidth="1"/>
    <col min="2" max="2" width="16.7109375" style="406" bestFit="1" customWidth="1"/>
    <col min="3" max="4" width="16.5703125" style="406" bestFit="1" customWidth="1"/>
    <col min="5" max="5" width="16.7109375" style="406" bestFit="1" customWidth="1"/>
    <col min="6" max="7" width="8.42578125" style="406" bestFit="1" customWidth="1"/>
    <col min="8" max="252" width="9.140625" style="406"/>
    <col min="253" max="253" width="30" style="406" customWidth="1"/>
    <col min="254" max="254" width="0" style="406" hidden="1" customWidth="1"/>
    <col min="255" max="255" width="15.7109375" style="406" customWidth="1"/>
    <col min="256" max="256" width="0" style="406" hidden="1" customWidth="1"/>
    <col min="257" max="257" width="16.7109375" style="406" customWidth="1"/>
    <col min="258" max="258" width="8.85546875" style="406" customWidth="1"/>
    <col min="259" max="508" width="9.140625" style="406"/>
    <col min="509" max="509" width="30" style="406" customWidth="1"/>
    <col min="510" max="510" width="0" style="406" hidden="1" customWidth="1"/>
    <col min="511" max="511" width="15.7109375" style="406" customWidth="1"/>
    <col min="512" max="512" width="0" style="406" hidden="1" customWidth="1"/>
    <col min="513" max="513" width="16.7109375" style="406" customWidth="1"/>
    <col min="514" max="514" width="8.85546875" style="406" customWidth="1"/>
    <col min="515" max="764" width="9.140625" style="406"/>
    <col min="765" max="765" width="30" style="406" customWidth="1"/>
    <col min="766" max="766" width="0" style="406" hidden="1" customWidth="1"/>
    <col min="767" max="767" width="15.7109375" style="406" customWidth="1"/>
    <col min="768" max="768" width="0" style="406" hidden="1" customWidth="1"/>
    <col min="769" max="769" width="16.7109375" style="406" customWidth="1"/>
    <col min="770" max="770" width="8.85546875" style="406" customWidth="1"/>
    <col min="771" max="1020" width="9.140625" style="406"/>
    <col min="1021" max="1021" width="30" style="406" customWidth="1"/>
    <col min="1022" max="1022" width="0" style="406" hidden="1" customWidth="1"/>
    <col min="1023" max="1023" width="15.7109375" style="406" customWidth="1"/>
    <col min="1024" max="1024" width="0" style="406" hidden="1" customWidth="1"/>
    <col min="1025" max="1025" width="16.7109375" style="406" customWidth="1"/>
    <col min="1026" max="1026" width="8.85546875" style="406" customWidth="1"/>
    <col min="1027" max="1276" width="9.140625" style="406"/>
    <col min="1277" max="1277" width="30" style="406" customWidth="1"/>
    <col min="1278" max="1278" width="0" style="406" hidden="1" customWidth="1"/>
    <col min="1279" max="1279" width="15.7109375" style="406" customWidth="1"/>
    <col min="1280" max="1280" width="0" style="406" hidden="1" customWidth="1"/>
    <col min="1281" max="1281" width="16.7109375" style="406" customWidth="1"/>
    <col min="1282" max="1282" width="8.85546875" style="406" customWidth="1"/>
    <col min="1283" max="1532" width="9.140625" style="406"/>
    <col min="1533" max="1533" width="30" style="406" customWidth="1"/>
    <col min="1534" max="1534" width="0" style="406" hidden="1" customWidth="1"/>
    <col min="1535" max="1535" width="15.7109375" style="406" customWidth="1"/>
    <col min="1536" max="1536" width="0" style="406" hidden="1" customWidth="1"/>
    <col min="1537" max="1537" width="16.7109375" style="406" customWidth="1"/>
    <col min="1538" max="1538" width="8.85546875" style="406" customWidth="1"/>
    <col min="1539" max="1788" width="9.140625" style="406"/>
    <col min="1789" max="1789" width="30" style="406" customWidth="1"/>
    <col min="1790" max="1790" width="0" style="406" hidden="1" customWidth="1"/>
    <col min="1791" max="1791" width="15.7109375" style="406" customWidth="1"/>
    <col min="1792" max="1792" width="0" style="406" hidden="1" customWidth="1"/>
    <col min="1793" max="1793" width="16.7109375" style="406" customWidth="1"/>
    <col min="1794" max="1794" width="8.85546875" style="406" customWidth="1"/>
    <col min="1795" max="2044" width="9.140625" style="406"/>
    <col min="2045" max="2045" width="30" style="406" customWidth="1"/>
    <col min="2046" max="2046" width="0" style="406" hidden="1" customWidth="1"/>
    <col min="2047" max="2047" width="15.7109375" style="406" customWidth="1"/>
    <col min="2048" max="2048" width="0" style="406" hidden="1" customWidth="1"/>
    <col min="2049" max="2049" width="16.7109375" style="406" customWidth="1"/>
    <col min="2050" max="2050" width="8.85546875" style="406" customWidth="1"/>
    <col min="2051" max="2300" width="9.140625" style="406"/>
    <col min="2301" max="2301" width="30" style="406" customWidth="1"/>
    <col min="2302" max="2302" width="0" style="406" hidden="1" customWidth="1"/>
    <col min="2303" max="2303" width="15.7109375" style="406" customWidth="1"/>
    <col min="2304" max="2304" width="0" style="406" hidden="1" customWidth="1"/>
    <col min="2305" max="2305" width="16.7109375" style="406" customWidth="1"/>
    <col min="2306" max="2306" width="8.85546875" style="406" customWidth="1"/>
    <col min="2307" max="2556" width="9.140625" style="406"/>
    <col min="2557" max="2557" width="30" style="406" customWidth="1"/>
    <col min="2558" max="2558" width="0" style="406" hidden="1" customWidth="1"/>
    <col min="2559" max="2559" width="15.7109375" style="406" customWidth="1"/>
    <col min="2560" max="2560" width="0" style="406" hidden="1" customWidth="1"/>
    <col min="2561" max="2561" width="16.7109375" style="406" customWidth="1"/>
    <col min="2562" max="2562" width="8.85546875" style="406" customWidth="1"/>
    <col min="2563" max="2812" width="9.140625" style="406"/>
    <col min="2813" max="2813" width="30" style="406" customWidth="1"/>
    <col min="2814" max="2814" width="0" style="406" hidden="1" customWidth="1"/>
    <col min="2815" max="2815" width="15.7109375" style="406" customWidth="1"/>
    <col min="2816" max="2816" width="0" style="406" hidden="1" customWidth="1"/>
    <col min="2817" max="2817" width="16.7109375" style="406" customWidth="1"/>
    <col min="2818" max="2818" width="8.85546875" style="406" customWidth="1"/>
    <col min="2819" max="3068" width="9.140625" style="406"/>
    <col min="3069" max="3069" width="30" style="406" customWidth="1"/>
    <col min="3070" max="3070" width="0" style="406" hidden="1" customWidth="1"/>
    <col min="3071" max="3071" width="15.7109375" style="406" customWidth="1"/>
    <col min="3072" max="3072" width="0" style="406" hidden="1" customWidth="1"/>
    <col min="3073" max="3073" width="16.7109375" style="406" customWidth="1"/>
    <col min="3074" max="3074" width="8.85546875" style="406" customWidth="1"/>
    <col min="3075" max="3324" width="9.140625" style="406"/>
    <col min="3325" max="3325" width="30" style="406" customWidth="1"/>
    <col min="3326" max="3326" width="0" style="406" hidden="1" customWidth="1"/>
    <col min="3327" max="3327" width="15.7109375" style="406" customWidth="1"/>
    <col min="3328" max="3328" width="0" style="406" hidden="1" customWidth="1"/>
    <col min="3329" max="3329" width="16.7109375" style="406" customWidth="1"/>
    <col min="3330" max="3330" width="8.85546875" style="406" customWidth="1"/>
    <col min="3331" max="3580" width="9.140625" style="406"/>
    <col min="3581" max="3581" width="30" style="406" customWidth="1"/>
    <col min="3582" max="3582" width="0" style="406" hidden="1" customWidth="1"/>
    <col min="3583" max="3583" width="15.7109375" style="406" customWidth="1"/>
    <col min="3584" max="3584" width="0" style="406" hidden="1" customWidth="1"/>
    <col min="3585" max="3585" width="16.7109375" style="406" customWidth="1"/>
    <col min="3586" max="3586" width="8.85546875" style="406" customWidth="1"/>
    <col min="3587" max="3836" width="9.140625" style="406"/>
    <col min="3837" max="3837" width="30" style="406" customWidth="1"/>
    <col min="3838" max="3838" width="0" style="406" hidden="1" customWidth="1"/>
    <col min="3839" max="3839" width="15.7109375" style="406" customWidth="1"/>
    <col min="3840" max="3840" width="0" style="406" hidden="1" customWidth="1"/>
    <col min="3841" max="3841" width="16.7109375" style="406" customWidth="1"/>
    <col min="3842" max="3842" width="8.85546875" style="406" customWidth="1"/>
    <col min="3843" max="4092" width="9.140625" style="406"/>
    <col min="4093" max="4093" width="30" style="406" customWidth="1"/>
    <col min="4094" max="4094" width="0" style="406" hidden="1" customWidth="1"/>
    <col min="4095" max="4095" width="15.7109375" style="406" customWidth="1"/>
    <col min="4096" max="4096" width="0" style="406" hidden="1" customWidth="1"/>
    <col min="4097" max="4097" width="16.7109375" style="406" customWidth="1"/>
    <col min="4098" max="4098" width="8.85546875" style="406" customWidth="1"/>
    <col min="4099" max="4348" width="9.140625" style="406"/>
    <col min="4349" max="4349" width="30" style="406" customWidth="1"/>
    <col min="4350" max="4350" width="0" style="406" hidden="1" customWidth="1"/>
    <col min="4351" max="4351" width="15.7109375" style="406" customWidth="1"/>
    <col min="4352" max="4352" width="0" style="406" hidden="1" customWidth="1"/>
    <col min="4353" max="4353" width="16.7109375" style="406" customWidth="1"/>
    <col min="4354" max="4354" width="8.85546875" style="406" customWidth="1"/>
    <col min="4355" max="4604" width="9.140625" style="406"/>
    <col min="4605" max="4605" width="30" style="406" customWidth="1"/>
    <col min="4606" max="4606" width="0" style="406" hidden="1" customWidth="1"/>
    <col min="4607" max="4607" width="15.7109375" style="406" customWidth="1"/>
    <col min="4608" max="4608" width="0" style="406" hidden="1" customWidth="1"/>
    <col min="4609" max="4609" width="16.7109375" style="406" customWidth="1"/>
    <col min="4610" max="4610" width="8.85546875" style="406" customWidth="1"/>
    <col min="4611" max="4860" width="9.140625" style="406"/>
    <col min="4861" max="4861" width="30" style="406" customWidth="1"/>
    <col min="4862" max="4862" width="0" style="406" hidden="1" customWidth="1"/>
    <col min="4863" max="4863" width="15.7109375" style="406" customWidth="1"/>
    <col min="4864" max="4864" width="0" style="406" hidden="1" customWidth="1"/>
    <col min="4865" max="4865" width="16.7109375" style="406" customWidth="1"/>
    <col min="4866" max="4866" width="8.85546875" style="406" customWidth="1"/>
    <col min="4867" max="5116" width="9.140625" style="406"/>
    <col min="5117" max="5117" width="30" style="406" customWidth="1"/>
    <col min="5118" max="5118" width="0" style="406" hidden="1" customWidth="1"/>
    <col min="5119" max="5119" width="15.7109375" style="406" customWidth="1"/>
    <col min="5120" max="5120" width="0" style="406" hidden="1" customWidth="1"/>
    <col min="5121" max="5121" width="16.7109375" style="406" customWidth="1"/>
    <col min="5122" max="5122" width="8.85546875" style="406" customWidth="1"/>
    <col min="5123" max="5372" width="9.140625" style="406"/>
    <col min="5373" max="5373" width="30" style="406" customWidth="1"/>
    <col min="5374" max="5374" width="0" style="406" hidden="1" customWidth="1"/>
    <col min="5375" max="5375" width="15.7109375" style="406" customWidth="1"/>
    <col min="5376" max="5376" width="0" style="406" hidden="1" customWidth="1"/>
    <col min="5377" max="5377" width="16.7109375" style="406" customWidth="1"/>
    <col min="5378" max="5378" width="8.85546875" style="406" customWidth="1"/>
    <col min="5379" max="5628" width="9.140625" style="406"/>
    <col min="5629" max="5629" width="30" style="406" customWidth="1"/>
    <col min="5630" max="5630" width="0" style="406" hidden="1" customWidth="1"/>
    <col min="5631" max="5631" width="15.7109375" style="406" customWidth="1"/>
    <col min="5632" max="5632" width="0" style="406" hidden="1" customWidth="1"/>
    <col min="5633" max="5633" width="16.7109375" style="406" customWidth="1"/>
    <col min="5634" max="5634" width="8.85546875" style="406" customWidth="1"/>
    <col min="5635" max="5884" width="9.140625" style="406"/>
    <col min="5885" max="5885" width="30" style="406" customWidth="1"/>
    <col min="5886" max="5886" width="0" style="406" hidden="1" customWidth="1"/>
    <col min="5887" max="5887" width="15.7109375" style="406" customWidth="1"/>
    <col min="5888" max="5888" width="0" style="406" hidden="1" customWidth="1"/>
    <col min="5889" max="5889" width="16.7109375" style="406" customWidth="1"/>
    <col min="5890" max="5890" width="8.85546875" style="406" customWidth="1"/>
    <col min="5891" max="6140" width="9.140625" style="406"/>
    <col min="6141" max="6141" width="30" style="406" customWidth="1"/>
    <col min="6142" max="6142" width="0" style="406" hidden="1" customWidth="1"/>
    <col min="6143" max="6143" width="15.7109375" style="406" customWidth="1"/>
    <col min="6144" max="6144" width="0" style="406" hidden="1" customWidth="1"/>
    <col min="6145" max="6145" width="16.7109375" style="406" customWidth="1"/>
    <col min="6146" max="6146" width="8.85546875" style="406" customWidth="1"/>
    <col min="6147" max="6396" width="9.140625" style="406"/>
    <col min="6397" max="6397" width="30" style="406" customWidth="1"/>
    <col min="6398" max="6398" width="0" style="406" hidden="1" customWidth="1"/>
    <col min="6399" max="6399" width="15.7109375" style="406" customWidth="1"/>
    <col min="6400" max="6400" width="0" style="406" hidden="1" customWidth="1"/>
    <col min="6401" max="6401" width="16.7109375" style="406" customWidth="1"/>
    <col min="6402" max="6402" width="8.85546875" style="406" customWidth="1"/>
    <col min="6403" max="6652" width="9.140625" style="406"/>
    <col min="6653" max="6653" width="30" style="406" customWidth="1"/>
    <col min="6654" max="6654" width="0" style="406" hidden="1" customWidth="1"/>
    <col min="6655" max="6655" width="15.7109375" style="406" customWidth="1"/>
    <col min="6656" max="6656" width="0" style="406" hidden="1" customWidth="1"/>
    <col min="6657" max="6657" width="16.7109375" style="406" customWidth="1"/>
    <col min="6658" max="6658" width="8.85546875" style="406" customWidth="1"/>
    <col min="6659" max="6908" width="9.140625" style="406"/>
    <col min="6909" max="6909" width="30" style="406" customWidth="1"/>
    <col min="6910" max="6910" width="0" style="406" hidden="1" customWidth="1"/>
    <col min="6911" max="6911" width="15.7109375" style="406" customWidth="1"/>
    <col min="6912" max="6912" width="0" style="406" hidden="1" customWidth="1"/>
    <col min="6913" max="6913" width="16.7109375" style="406" customWidth="1"/>
    <col min="6914" max="6914" width="8.85546875" style="406" customWidth="1"/>
    <col min="6915" max="7164" width="9.140625" style="406"/>
    <col min="7165" max="7165" width="30" style="406" customWidth="1"/>
    <col min="7166" max="7166" width="0" style="406" hidden="1" customWidth="1"/>
    <col min="7167" max="7167" width="15.7109375" style="406" customWidth="1"/>
    <col min="7168" max="7168" width="0" style="406" hidden="1" customWidth="1"/>
    <col min="7169" max="7169" width="16.7109375" style="406" customWidth="1"/>
    <col min="7170" max="7170" width="8.85546875" style="406" customWidth="1"/>
    <col min="7171" max="7420" width="9.140625" style="406"/>
    <col min="7421" max="7421" width="30" style="406" customWidth="1"/>
    <col min="7422" max="7422" width="0" style="406" hidden="1" customWidth="1"/>
    <col min="7423" max="7423" width="15.7109375" style="406" customWidth="1"/>
    <col min="7424" max="7424" width="0" style="406" hidden="1" customWidth="1"/>
    <col min="7425" max="7425" width="16.7109375" style="406" customWidth="1"/>
    <col min="7426" max="7426" width="8.85546875" style="406" customWidth="1"/>
    <col min="7427" max="7676" width="9.140625" style="406"/>
    <col min="7677" max="7677" width="30" style="406" customWidth="1"/>
    <col min="7678" max="7678" width="0" style="406" hidden="1" customWidth="1"/>
    <col min="7679" max="7679" width="15.7109375" style="406" customWidth="1"/>
    <col min="7680" max="7680" width="0" style="406" hidden="1" customWidth="1"/>
    <col min="7681" max="7681" width="16.7109375" style="406" customWidth="1"/>
    <col min="7682" max="7682" width="8.85546875" style="406" customWidth="1"/>
    <col min="7683" max="7932" width="9.140625" style="406"/>
    <col min="7933" max="7933" width="30" style="406" customWidth="1"/>
    <col min="7934" max="7934" width="0" style="406" hidden="1" customWidth="1"/>
    <col min="7935" max="7935" width="15.7109375" style="406" customWidth="1"/>
    <col min="7936" max="7936" width="0" style="406" hidden="1" customWidth="1"/>
    <col min="7937" max="7937" width="16.7109375" style="406" customWidth="1"/>
    <col min="7938" max="7938" width="8.85546875" style="406" customWidth="1"/>
    <col min="7939" max="8188" width="9.140625" style="406"/>
    <col min="8189" max="8189" width="30" style="406" customWidth="1"/>
    <col min="8190" max="8190" width="0" style="406" hidden="1" customWidth="1"/>
    <col min="8191" max="8191" width="15.7109375" style="406" customWidth="1"/>
    <col min="8192" max="8192" width="0" style="406" hidden="1" customWidth="1"/>
    <col min="8193" max="8193" width="16.7109375" style="406" customWidth="1"/>
    <col min="8194" max="8194" width="8.85546875" style="406" customWidth="1"/>
    <col min="8195" max="8444" width="9.140625" style="406"/>
    <col min="8445" max="8445" width="30" style="406" customWidth="1"/>
    <col min="8446" max="8446" width="0" style="406" hidden="1" customWidth="1"/>
    <col min="8447" max="8447" width="15.7109375" style="406" customWidth="1"/>
    <col min="8448" max="8448" width="0" style="406" hidden="1" customWidth="1"/>
    <col min="8449" max="8449" width="16.7109375" style="406" customWidth="1"/>
    <col min="8450" max="8450" width="8.85546875" style="406" customWidth="1"/>
    <col min="8451" max="8700" width="9.140625" style="406"/>
    <col min="8701" max="8701" width="30" style="406" customWidth="1"/>
    <col min="8702" max="8702" width="0" style="406" hidden="1" customWidth="1"/>
    <col min="8703" max="8703" width="15.7109375" style="406" customWidth="1"/>
    <col min="8704" max="8704" width="0" style="406" hidden="1" customWidth="1"/>
    <col min="8705" max="8705" width="16.7109375" style="406" customWidth="1"/>
    <col min="8706" max="8706" width="8.85546875" style="406" customWidth="1"/>
    <col min="8707" max="8956" width="9.140625" style="406"/>
    <col min="8957" max="8957" width="30" style="406" customWidth="1"/>
    <col min="8958" max="8958" width="0" style="406" hidden="1" customWidth="1"/>
    <col min="8959" max="8959" width="15.7109375" style="406" customWidth="1"/>
    <col min="8960" max="8960" width="0" style="406" hidden="1" customWidth="1"/>
    <col min="8961" max="8961" width="16.7109375" style="406" customWidth="1"/>
    <col min="8962" max="8962" width="8.85546875" style="406" customWidth="1"/>
    <col min="8963" max="9212" width="9.140625" style="406"/>
    <col min="9213" max="9213" width="30" style="406" customWidth="1"/>
    <col min="9214" max="9214" width="0" style="406" hidden="1" customWidth="1"/>
    <col min="9215" max="9215" width="15.7109375" style="406" customWidth="1"/>
    <col min="9216" max="9216" width="0" style="406" hidden="1" customWidth="1"/>
    <col min="9217" max="9217" width="16.7109375" style="406" customWidth="1"/>
    <col min="9218" max="9218" width="8.85546875" style="406" customWidth="1"/>
    <col min="9219" max="9468" width="9.140625" style="406"/>
    <col min="9469" max="9469" width="30" style="406" customWidth="1"/>
    <col min="9470" max="9470" width="0" style="406" hidden="1" customWidth="1"/>
    <col min="9471" max="9471" width="15.7109375" style="406" customWidth="1"/>
    <col min="9472" max="9472" width="0" style="406" hidden="1" customWidth="1"/>
    <col min="9473" max="9473" width="16.7109375" style="406" customWidth="1"/>
    <col min="9474" max="9474" width="8.85546875" style="406" customWidth="1"/>
    <col min="9475" max="9724" width="9.140625" style="406"/>
    <col min="9725" max="9725" width="30" style="406" customWidth="1"/>
    <col min="9726" max="9726" width="0" style="406" hidden="1" customWidth="1"/>
    <col min="9727" max="9727" width="15.7109375" style="406" customWidth="1"/>
    <col min="9728" max="9728" width="0" style="406" hidden="1" customWidth="1"/>
    <col min="9729" max="9729" width="16.7109375" style="406" customWidth="1"/>
    <col min="9730" max="9730" width="8.85546875" style="406" customWidth="1"/>
    <col min="9731" max="9980" width="9.140625" style="406"/>
    <col min="9981" max="9981" width="30" style="406" customWidth="1"/>
    <col min="9982" max="9982" width="0" style="406" hidden="1" customWidth="1"/>
    <col min="9983" max="9983" width="15.7109375" style="406" customWidth="1"/>
    <col min="9984" max="9984" width="0" style="406" hidden="1" customWidth="1"/>
    <col min="9985" max="9985" width="16.7109375" style="406" customWidth="1"/>
    <col min="9986" max="9986" width="8.85546875" style="406" customWidth="1"/>
    <col min="9987" max="10236" width="9.140625" style="406"/>
    <col min="10237" max="10237" width="30" style="406" customWidth="1"/>
    <col min="10238" max="10238" width="0" style="406" hidden="1" customWidth="1"/>
    <col min="10239" max="10239" width="15.7109375" style="406" customWidth="1"/>
    <col min="10240" max="10240" width="0" style="406" hidden="1" customWidth="1"/>
    <col min="10241" max="10241" width="16.7109375" style="406" customWidth="1"/>
    <col min="10242" max="10242" width="8.85546875" style="406" customWidth="1"/>
    <col min="10243" max="10492" width="9.140625" style="406"/>
    <col min="10493" max="10493" width="30" style="406" customWidth="1"/>
    <col min="10494" max="10494" width="0" style="406" hidden="1" customWidth="1"/>
    <col min="10495" max="10495" width="15.7109375" style="406" customWidth="1"/>
    <col min="10496" max="10496" width="0" style="406" hidden="1" customWidth="1"/>
    <col min="10497" max="10497" width="16.7109375" style="406" customWidth="1"/>
    <col min="10498" max="10498" width="8.85546875" style="406" customWidth="1"/>
    <col min="10499" max="10748" width="9.140625" style="406"/>
    <col min="10749" max="10749" width="30" style="406" customWidth="1"/>
    <col min="10750" max="10750" width="0" style="406" hidden="1" customWidth="1"/>
    <col min="10751" max="10751" width="15.7109375" style="406" customWidth="1"/>
    <col min="10752" max="10752" width="0" style="406" hidden="1" customWidth="1"/>
    <col min="10753" max="10753" width="16.7109375" style="406" customWidth="1"/>
    <col min="10754" max="10754" width="8.85546875" style="406" customWidth="1"/>
    <col min="10755" max="11004" width="9.140625" style="406"/>
    <col min="11005" max="11005" width="30" style="406" customWidth="1"/>
    <col min="11006" max="11006" width="0" style="406" hidden="1" customWidth="1"/>
    <col min="11007" max="11007" width="15.7109375" style="406" customWidth="1"/>
    <col min="11008" max="11008" width="0" style="406" hidden="1" customWidth="1"/>
    <col min="11009" max="11009" width="16.7109375" style="406" customWidth="1"/>
    <col min="11010" max="11010" width="8.85546875" style="406" customWidth="1"/>
    <col min="11011" max="11260" width="9.140625" style="406"/>
    <col min="11261" max="11261" width="30" style="406" customWidth="1"/>
    <col min="11262" max="11262" width="0" style="406" hidden="1" customWidth="1"/>
    <col min="11263" max="11263" width="15.7109375" style="406" customWidth="1"/>
    <col min="11264" max="11264" width="0" style="406" hidden="1" customWidth="1"/>
    <col min="11265" max="11265" width="16.7109375" style="406" customWidth="1"/>
    <col min="11266" max="11266" width="8.85546875" style="406" customWidth="1"/>
    <col min="11267" max="11516" width="9.140625" style="406"/>
    <col min="11517" max="11517" width="30" style="406" customWidth="1"/>
    <col min="11518" max="11518" width="0" style="406" hidden="1" customWidth="1"/>
    <col min="11519" max="11519" width="15.7109375" style="406" customWidth="1"/>
    <col min="11520" max="11520" width="0" style="406" hidden="1" customWidth="1"/>
    <col min="11521" max="11521" width="16.7109375" style="406" customWidth="1"/>
    <col min="11522" max="11522" width="8.85546875" style="406" customWidth="1"/>
    <col min="11523" max="11772" width="9.140625" style="406"/>
    <col min="11773" max="11773" width="30" style="406" customWidth="1"/>
    <col min="11774" max="11774" width="0" style="406" hidden="1" customWidth="1"/>
    <col min="11775" max="11775" width="15.7109375" style="406" customWidth="1"/>
    <col min="11776" max="11776" width="0" style="406" hidden="1" customWidth="1"/>
    <col min="11777" max="11777" width="16.7109375" style="406" customWidth="1"/>
    <col min="11778" max="11778" width="8.85546875" style="406" customWidth="1"/>
    <col min="11779" max="12028" width="9.140625" style="406"/>
    <col min="12029" max="12029" width="30" style="406" customWidth="1"/>
    <col min="12030" max="12030" width="0" style="406" hidden="1" customWidth="1"/>
    <col min="12031" max="12031" width="15.7109375" style="406" customWidth="1"/>
    <col min="12032" max="12032" width="0" style="406" hidden="1" customWidth="1"/>
    <col min="12033" max="12033" width="16.7109375" style="406" customWidth="1"/>
    <col min="12034" max="12034" width="8.85546875" style="406" customWidth="1"/>
    <col min="12035" max="12284" width="9.140625" style="406"/>
    <col min="12285" max="12285" width="30" style="406" customWidth="1"/>
    <col min="12286" max="12286" width="0" style="406" hidden="1" customWidth="1"/>
    <col min="12287" max="12287" width="15.7109375" style="406" customWidth="1"/>
    <col min="12288" max="12288" width="0" style="406" hidden="1" customWidth="1"/>
    <col min="12289" max="12289" width="16.7109375" style="406" customWidth="1"/>
    <col min="12290" max="12290" width="8.85546875" style="406" customWidth="1"/>
    <col min="12291" max="12540" width="9.140625" style="406"/>
    <col min="12541" max="12541" width="30" style="406" customWidth="1"/>
    <col min="12542" max="12542" width="0" style="406" hidden="1" customWidth="1"/>
    <col min="12543" max="12543" width="15.7109375" style="406" customWidth="1"/>
    <col min="12544" max="12544" width="0" style="406" hidden="1" customWidth="1"/>
    <col min="12545" max="12545" width="16.7109375" style="406" customWidth="1"/>
    <col min="12546" max="12546" width="8.85546875" style="406" customWidth="1"/>
    <col min="12547" max="12796" width="9.140625" style="406"/>
    <col min="12797" max="12797" width="30" style="406" customWidth="1"/>
    <col min="12798" max="12798" width="0" style="406" hidden="1" customWidth="1"/>
    <col min="12799" max="12799" width="15.7109375" style="406" customWidth="1"/>
    <col min="12800" max="12800" width="0" style="406" hidden="1" customWidth="1"/>
    <col min="12801" max="12801" width="16.7109375" style="406" customWidth="1"/>
    <col min="12802" max="12802" width="8.85546875" style="406" customWidth="1"/>
    <col min="12803" max="13052" width="9.140625" style="406"/>
    <col min="13053" max="13053" width="30" style="406" customWidth="1"/>
    <col min="13054" max="13054" width="0" style="406" hidden="1" customWidth="1"/>
    <col min="13055" max="13055" width="15.7109375" style="406" customWidth="1"/>
    <col min="13056" max="13056" width="0" style="406" hidden="1" customWidth="1"/>
    <col min="13057" max="13057" width="16.7109375" style="406" customWidth="1"/>
    <col min="13058" max="13058" width="8.85546875" style="406" customWidth="1"/>
    <col min="13059" max="13308" width="9.140625" style="406"/>
    <col min="13309" max="13309" width="30" style="406" customWidth="1"/>
    <col min="13310" max="13310" width="0" style="406" hidden="1" customWidth="1"/>
    <col min="13311" max="13311" width="15.7109375" style="406" customWidth="1"/>
    <col min="13312" max="13312" width="0" style="406" hidden="1" customWidth="1"/>
    <col min="13313" max="13313" width="16.7109375" style="406" customWidth="1"/>
    <col min="13314" max="13314" width="8.85546875" style="406" customWidth="1"/>
    <col min="13315" max="13564" width="9.140625" style="406"/>
    <col min="13565" max="13565" width="30" style="406" customWidth="1"/>
    <col min="13566" max="13566" width="0" style="406" hidden="1" customWidth="1"/>
    <col min="13567" max="13567" width="15.7109375" style="406" customWidth="1"/>
    <col min="13568" max="13568" width="0" style="406" hidden="1" customWidth="1"/>
    <col min="13569" max="13569" width="16.7109375" style="406" customWidth="1"/>
    <col min="13570" max="13570" width="8.85546875" style="406" customWidth="1"/>
    <col min="13571" max="13820" width="9.140625" style="406"/>
    <col min="13821" max="13821" width="30" style="406" customWidth="1"/>
    <col min="13822" max="13822" width="0" style="406" hidden="1" customWidth="1"/>
    <col min="13823" max="13823" width="15.7109375" style="406" customWidth="1"/>
    <col min="13824" max="13824" width="0" style="406" hidden="1" customWidth="1"/>
    <col min="13825" max="13825" width="16.7109375" style="406" customWidth="1"/>
    <col min="13826" max="13826" width="8.85546875" style="406" customWidth="1"/>
    <col min="13827" max="14076" width="9.140625" style="406"/>
    <col min="14077" max="14077" width="30" style="406" customWidth="1"/>
    <col min="14078" max="14078" width="0" style="406" hidden="1" customWidth="1"/>
    <col min="14079" max="14079" width="15.7109375" style="406" customWidth="1"/>
    <col min="14080" max="14080" width="0" style="406" hidden="1" customWidth="1"/>
    <col min="14081" max="14081" width="16.7109375" style="406" customWidth="1"/>
    <col min="14082" max="14082" width="8.85546875" style="406" customWidth="1"/>
    <col min="14083" max="14332" width="9.140625" style="406"/>
    <col min="14333" max="14333" width="30" style="406" customWidth="1"/>
    <col min="14334" max="14334" width="0" style="406" hidden="1" customWidth="1"/>
    <col min="14335" max="14335" width="15.7109375" style="406" customWidth="1"/>
    <col min="14336" max="14336" width="0" style="406" hidden="1" customWidth="1"/>
    <col min="14337" max="14337" width="16.7109375" style="406" customWidth="1"/>
    <col min="14338" max="14338" width="8.85546875" style="406" customWidth="1"/>
    <col min="14339" max="14588" width="9.140625" style="406"/>
    <col min="14589" max="14589" width="30" style="406" customWidth="1"/>
    <col min="14590" max="14590" width="0" style="406" hidden="1" customWidth="1"/>
    <col min="14591" max="14591" width="15.7109375" style="406" customWidth="1"/>
    <col min="14592" max="14592" width="0" style="406" hidden="1" customWidth="1"/>
    <col min="14593" max="14593" width="16.7109375" style="406" customWidth="1"/>
    <col min="14594" max="14594" width="8.85546875" style="406" customWidth="1"/>
    <col min="14595" max="14844" width="9.140625" style="406"/>
    <col min="14845" max="14845" width="30" style="406" customWidth="1"/>
    <col min="14846" max="14846" width="0" style="406" hidden="1" customWidth="1"/>
    <col min="14847" max="14847" width="15.7109375" style="406" customWidth="1"/>
    <col min="14848" max="14848" width="0" style="406" hidden="1" customWidth="1"/>
    <col min="14849" max="14849" width="16.7109375" style="406" customWidth="1"/>
    <col min="14850" max="14850" width="8.85546875" style="406" customWidth="1"/>
    <col min="14851" max="15100" width="9.140625" style="406"/>
    <col min="15101" max="15101" width="30" style="406" customWidth="1"/>
    <col min="15102" max="15102" width="0" style="406" hidden="1" customWidth="1"/>
    <col min="15103" max="15103" width="15.7109375" style="406" customWidth="1"/>
    <col min="15104" max="15104" width="0" style="406" hidden="1" customWidth="1"/>
    <col min="15105" max="15105" width="16.7109375" style="406" customWidth="1"/>
    <col min="15106" max="15106" width="8.85546875" style="406" customWidth="1"/>
    <col min="15107" max="15356" width="9.140625" style="406"/>
    <col min="15357" max="15357" width="30" style="406" customWidth="1"/>
    <col min="15358" max="15358" width="0" style="406" hidden="1" customWidth="1"/>
    <col min="15359" max="15359" width="15.7109375" style="406" customWidth="1"/>
    <col min="15360" max="15360" width="0" style="406" hidden="1" customWidth="1"/>
    <col min="15361" max="15361" width="16.7109375" style="406" customWidth="1"/>
    <col min="15362" max="15362" width="8.85546875" style="406" customWidth="1"/>
    <col min="15363" max="15612" width="9.140625" style="406"/>
    <col min="15613" max="15613" width="30" style="406" customWidth="1"/>
    <col min="15614" max="15614" width="0" style="406" hidden="1" customWidth="1"/>
    <col min="15615" max="15615" width="15.7109375" style="406" customWidth="1"/>
    <col min="15616" max="15616" width="0" style="406" hidden="1" customWidth="1"/>
    <col min="15617" max="15617" width="16.7109375" style="406" customWidth="1"/>
    <col min="15618" max="15618" width="8.85546875" style="406" customWidth="1"/>
    <col min="15619" max="15868" width="9.140625" style="406"/>
    <col min="15869" max="15869" width="30" style="406" customWidth="1"/>
    <col min="15870" max="15870" width="0" style="406" hidden="1" customWidth="1"/>
    <col min="15871" max="15871" width="15.7109375" style="406" customWidth="1"/>
    <col min="15872" max="15872" width="0" style="406" hidden="1" customWidth="1"/>
    <col min="15873" max="15873" width="16.7109375" style="406" customWidth="1"/>
    <col min="15874" max="15874" width="8.85546875" style="406" customWidth="1"/>
    <col min="15875" max="16124" width="9.140625" style="406"/>
    <col min="16125" max="16125" width="30" style="406" customWidth="1"/>
    <col min="16126" max="16126" width="0" style="406" hidden="1" customWidth="1"/>
    <col min="16127" max="16127" width="15.7109375" style="406" customWidth="1"/>
    <col min="16128" max="16128" width="0" style="406" hidden="1" customWidth="1"/>
    <col min="16129" max="16129" width="16.7109375" style="406" customWidth="1"/>
    <col min="16130" max="16130" width="8.85546875" style="406" customWidth="1"/>
    <col min="16131" max="16384" width="9.140625" style="406"/>
  </cols>
  <sheetData>
    <row r="1" spans="1:8" x14ac:dyDescent="0.25">
      <c r="A1" s="818"/>
      <c r="B1" s="818"/>
      <c r="C1" s="818"/>
      <c r="D1" s="818"/>
      <c r="E1" s="818"/>
      <c r="F1" s="818"/>
      <c r="G1" s="405"/>
      <c r="H1" s="405"/>
    </row>
    <row r="2" spans="1:8" x14ac:dyDescent="0.25">
      <c r="A2" s="818" t="s">
        <v>0</v>
      </c>
      <c r="B2" s="818"/>
      <c r="C2" s="818"/>
      <c r="D2" s="818"/>
      <c r="E2" s="818"/>
      <c r="F2" s="818"/>
    </row>
    <row r="3" spans="1:8" x14ac:dyDescent="0.25">
      <c r="A3" s="30"/>
      <c r="B3" s="30"/>
      <c r="C3" s="30"/>
      <c r="D3" s="30"/>
      <c r="E3" s="30"/>
      <c r="F3" s="30"/>
      <c r="G3" s="30"/>
    </row>
    <row r="4" spans="1:8" x14ac:dyDescent="0.25">
      <c r="A4" s="818" t="s">
        <v>366</v>
      </c>
      <c r="B4" s="818"/>
      <c r="C4" s="818"/>
      <c r="D4" s="818"/>
      <c r="E4" s="818"/>
      <c r="F4" s="821"/>
    </row>
    <row r="5" spans="1:8" x14ac:dyDescent="0.25">
      <c r="A5" s="30"/>
      <c r="B5" s="30"/>
      <c r="C5" s="30"/>
      <c r="D5" s="30"/>
      <c r="E5" s="30"/>
      <c r="F5" s="30"/>
      <c r="G5" s="30"/>
    </row>
    <row r="6" spans="1:8" x14ac:dyDescent="0.25">
      <c r="A6" s="818" t="s">
        <v>367</v>
      </c>
      <c r="B6" s="818"/>
      <c r="C6" s="818"/>
      <c r="D6" s="818"/>
      <c r="E6" s="818"/>
      <c r="F6" s="822"/>
    </row>
    <row r="7" spans="1:8" x14ac:dyDescent="0.25">
      <c r="A7" s="30"/>
      <c r="B7" s="30"/>
      <c r="C7" s="30"/>
      <c r="D7" s="30"/>
      <c r="E7" s="30"/>
      <c r="F7" s="30"/>
      <c r="G7" s="30"/>
    </row>
    <row r="8" spans="1:8" s="412" customFormat="1" ht="47.25" x14ac:dyDescent="0.25">
      <c r="A8" s="407" t="s">
        <v>265</v>
      </c>
      <c r="B8" s="264" t="s">
        <v>622</v>
      </c>
      <c r="C8" s="408" t="s">
        <v>603</v>
      </c>
      <c r="D8" s="409" t="s">
        <v>604</v>
      </c>
      <c r="E8" s="410" t="s">
        <v>623</v>
      </c>
      <c r="F8" s="411" t="s">
        <v>544</v>
      </c>
      <c r="G8" s="411" t="s">
        <v>544</v>
      </c>
    </row>
    <row r="9" spans="1:8" s="418" customFormat="1" ht="11.25" x14ac:dyDescent="0.2">
      <c r="A9" s="413">
        <v>1</v>
      </c>
      <c r="B9" s="413"/>
      <c r="C9" s="414">
        <v>2</v>
      </c>
      <c r="D9" s="415">
        <v>3</v>
      </c>
      <c r="E9" s="416">
        <v>4</v>
      </c>
      <c r="F9" s="417">
        <v>5</v>
      </c>
      <c r="G9" s="417">
        <v>5</v>
      </c>
    </row>
    <row r="10" spans="1:8" s="418" customFormat="1" ht="15" x14ac:dyDescent="0.2">
      <c r="A10" s="419" t="s">
        <v>368</v>
      </c>
      <c r="B10" s="420">
        <f>'RASHODI-ek.kl.'!D249</f>
        <v>5931700.1705000009</v>
      </c>
      <c r="C10" s="420">
        <f>'RASHODI-ek.kl.'!E249</f>
        <v>4725934.5699999994</v>
      </c>
      <c r="D10" s="420">
        <f>'RASHODI-ek.kl.'!F249</f>
        <v>4763941.6499999994</v>
      </c>
      <c r="E10" s="421">
        <f>'RASHODI-ek.kl.'!G249</f>
        <v>5188831.55</v>
      </c>
      <c r="F10" s="630">
        <f>IFERROR(E10/C10*100,E10)</f>
        <v>109.79482413782129</v>
      </c>
      <c r="G10" s="631">
        <f>IFERROR(E10/D10*100,E10)</f>
        <v>108.91887288334021</v>
      </c>
    </row>
    <row r="11" spans="1:8" s="425" customFormat="1" ht="14.25" x14ac:dyDescent="0.2">
      <c r="A11" s="422" t="s">
        <v>369</v>
      </c>
      <c r="B11" s="423">
        <f>B12</f>
        <v>5931700.1699999999</v>
      </c>
      <c r="C11" s="423">
        <f>C12</f>
        <v>4725934.57</v>
      </c>
      <c r="D11" s="423">
        <f>D12</f>
        <v>4763941.6500000004</v>
      </c>
      <c r="E11" s="424">
        <f t="shared" ref="E11" si="0">E12</f>
        <v>5188831.55</v>
      </c>
      <c r="F11" s="632">
        <f t="shared" ref="F11:F18" si="1">IFERROR(E11/C11*100,E11)</f>
        <v>109.79482413782127</v>
      </c>
      <c r="G11" s="633">
        <f t="shared" ref="G11:G18" si="2">IFERROR(E11/D11*100,E11)</f>
        <v>108.91887288334019</v>
      </c>
    </row>
    <row r="12" spans="1:8" s="425" customFormat="1" ht="28.5" x14ac:dyDescent="0.2">
      <c r="A12" s="422" t="s">
        <v>370</v>
      </c>
      <c r="B12" s="423">
        <f>B13+B14+B15</f>
        <v>5931700.1699999999</v>
      </c>
      <c r="C12" s="423">
        <f>C13+C14+C15</f>
        <v>4725934.57</v>
      </c>
      <c r="D12" s="423">
        <f>D13+D14+D15</f>
        <v>4763941.6500000004</v>
      </c>
      <c r="E12" s="424">
        <f t="shared" ref="E12" si="3">E13+E14+E15</f>
        <v>5188831.55</v>
      </c>
      <c r="F12" s="632">
        <f t="shared" si="1"/>
        <v>109.79482413782127</v>
      </c>
      <c r="G12" s="633">
        <f t="shared" si="2"/>
        <v>108.91887288334019</v>
      </c>
    </row>
    <row r="13" spans="1:8" s="425" customFormat="1" ht="15" x14ac:dyDescent="0.2">
      <c r="A13" s="426" t="s">
        <v>371</v>
      </c>
      <c r="B13" s="427">
        <f t="shared" ref="B13" si="4">ROUND(B10*0.6,2)</f>
        <v>3559020.1</v>
      </c>
      <c r="C13" s="427">
        <f t="shared" ref="C13:E13" si="5">ROUND(C10*0.6,2)</f>
        <v>2835560.74</v>
      </c>
      <c r="D13" s="427">
        <f t="shared" ref="D13" si="6">ROUND(D10*0.6,2)</f>
        <v>2858364.99</v>
      </c>
      <c r="E13" s="428">
        <f t="shared" si="5"/>
        <v>3113298.93</v>
      </c>
      <c r="F13" s="634">
        <f t="shared" si="1"/>
        <v>109.79482421526261</v>
      </c>
      <c r="G13" s="635">
        <f t="shared" si="2"/>
        <v>108.91887288334021</v>
      </c>
    </row>
    <row r="14" spans="1:8" s="425" customFormat="1" ht="15" x14ac:dyDescent="0.2">
      <c r="A14" s="426" t="s">
        <v>372</v>
      </c>
      <c r="B14" s="427">
        <f t="shared" ref="B14" si="7">ROUND(B10*0.15,2)</f>
        <v>889755.03</v>
      </c>
      <c r="C14" s="427">
        <f t="shared" ref="C14:E14" si="8">ROUND(C10*0.15,2)</f>
        <v>708890.19</v>
      </c>
      <c r="D14" s="427">
        <f t="shared" ref="D14" si="9">ROUND(D10*0.15,2)</f>
        <v>714591.25</v>
      </c>
      <c r="E14" s="428">
        <f t="shared" si="8"/>
        <v>778324.73</v>
      </c>
      <c r="F14" s="634">
        <f t="shared" si="1"/>
        <v>109.79482308818523</v>
      </c>
      <c r="G14" s="635">
        <f t="shared" si="2"/>
        <v>108.91887215243679</v>
      </c>
    </row>
    <row r="15" spans="1:8" s="425" customFormat="1" ht="15" x14ac:dyDescent="0.2">
      <c r="A15" s="426" t="s">
        <v>373</v>
      </c>
      <c r="B15" s="427">
        <f t="shared" ref="B15" si="10">ROUND(B10*0.25,2)</f>
        <v>1482925.04</v>
      </c>
      <c r="C15" s="427">
        <f t="shared" ref="C15:E15" si="11">ROUND(C10*0.25,2)</f>
        <v>1181483.6399999999</v>
      </c>
      <c r="D15" s="427">
        <f t="shared" ref="D15" si="12">ROUND(D10*0.25,2)</f>
        <v>1190985.4099999999</v>
      </c>
      <c r="E15" s="428">
        <f t="shared" si="11"/>
        <v>1297207.8899999999</v>
      </c>
      <c r="F15" s="634">
        <f t="shared" si="1"/>
        <v>109.79482458174368</v>
      </c>
      <c r="G15" s="635">
        <f t="shared" si="2"/>
        <v>108.91887332188226</v>
      </c>
    </row>
    <row r="16" spans="1:8" s="431" customFormat="1" ht="14.25" x14ac:dyDescent="0.2">
      <c r="A16" s="429" t="s">
        <v>374</v>
      </c>
      <c r="B16" s="429"/>
      <c r="C16" s="430">
        <f>C17</f>
        <v>0</v>
      </c>
      <c r="D16" s="430">
        <f>D17</f>
        <v>0</v>
      </c>
      <c r="E16" s="424">
        <f>E17</f>
        <v>0</v>
      </c>
      <c r="F16" s="636">
        <f t="shared" si="1"/>
        <v>0</v>
      </c>
      <c r="G16" s="633">
        <f t="shared" si="2"/>
        <v>0</v>
      </c>
    </row>
    <row r="17" spans="1:7" s="435" customFormat="1" ht="15" x14ac:dyDescent="0.25">
      <c r="A17" s="432" t="s">
        <v>375</v>
      </c>
      <c r="B17" s="432"/>
      <c r="C17" s="433"/>
      <c r="D17" s="433"/>
      <c r="E17" s="434"/>
      <c r="F17" s="637">
        <f t="shared" si="1"/>
        <v>0</v>
      </c>
      <c r="G17" s="638">
        <f t="shared" si="2"/>
        <v>0</v>
      </c>
    </row>
    <row r="18" spans="1:7" s="439" customFormat="1" x14ac:dyDescent="0.25">
      <c r="A18" s="436" t="s">
        <v>376</v>
      </c>
      <c r="B18" s="437"/>
      <c r="C18" s="438">
        <v>0</v>
      </c>
      <c r="D18" s="438">
        <v>0</v>
      </c>
      <c r="E18" s="424">
        <v>0</v>
      </c>
      <c r="F18" s="639">
        <f t="shared" si="1"/>
        <v>0</v>
      </c>
      <c r="G18" s="633">
        <f t="shared" si="2"/>
        <v>0</v>
      </c>
    </row>
    <row r="21" spans="1:7" x14ac:dyDescent="0.25">
      <c r="F21" s="440"/>
      <c r="G21" s="440"/>
    </row>
  </sheetData>
  <mergeCells count="4">
    <mergeCell ref="A1:F1"/>
    <mergeCell ref="A2:F2"/>
    <mergeCell ref="A4:F4"/>
    <mergeCell ref="A6:F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805"/>
  <sheetViews>
    <sheetView topLeftCell="A85" workbookViewId="0">
      <selection activeCell="B112" sqref="B112"/>
    </sheetView>
  </sheetViews>
  <sheetFormatPr defaultRowHeight="15.75" x14ac:dyDescent="0.25"/>
  <cols>
    <col min="1" max="1" width="17.7109375" style="696" bestFit="1" customWidth="1"/>
    <col min="2" max="2" width="63" style="696" customWidth="1"/>
    <col min="3" max="3" width="24.42578125" style="717" customWidth="1"/>
    <col min="4" max="4" width="20" style="717" customWidth="1"/>
    <col min="5" max="5" width="18.5703125" style="717" bestFit="1" customWidth="1"/>
    <col min="6" max="6" width="24.5703125" style="718" customWidth="1"/>
    <col min="7" max="7" width="11.85546875" style="719" customWidth="1"/>
    <col min="8" max="8" width="10.7109375" style="719" bestFit="1" customWidth="1"/>
    <col min="9" max="9" width="11.28515625" style="670" bestFit="1" customWidth="1"/>
    <col min="10" max="16384" width="9.140625" style="670"/>
  </cols>
  <sheetData>
    <row r="1" spans="1:8" s="647" customFormat="1" x14ac:dyDescent="0.25">
      <c r="A1" s="765" t="s">
        <v>306</v>
      </c>
      <c r="B1" s="765"/>
      <c r="C1" s="765"/>
      <c r="D1" s="765"/>
      <c r="E1" s="765"/>
      <c r="F1" s="765"/>
      <c r="G1" s="765"/>
      <c r="H1" s="646"/>
    </row>
    <row r="2" spans="1:8" s="647" customFormat="1" x14ac:dyDescent="0.25">
      <c r="A2" s="765" t="s">
        <v>307</v>
      </c>
      <c r="B2" s="765"/>
      <c r="C2" s="765"/>
      <c r="D2" s="765"/>
      <c r="E2" s="765"/>
      <c r="F2" s="765"/>
      <c r="G2" s="765"/>
      <c r="H2" s="646"/>
    </row>
    <row r="3" spans="1:8" s="652" customFormat="1" x14ac:dyDescent="0.25">
      <c r="A3" s="648"/>
      <c r="B3" s="648"/>
      <c r="C3" s="649"/>
      <c r="D3" s="649"/>
      <c r="E3" s="649"/>
      <c r="F3" s="650"/>
      <c r="G3" s="651"/>
      <c r="H3" s="651"/>
    </row>
    <row r="4" spans="1:8" s="652" customFormat="1" ht="47.25" x14ac:dyDescent="0.25">
      <c r="A4" s="653" t="s">
        <v>308</v>
      </c>
      <c r="B4" s="653" t="s">
        <v>309</v>
      </c>
      <c r="C4" s="654" t="s">
        <v>622</v>
      </c>
      <c r="D4" s="655" t="s">
        <v>603</v>
      </c>
      <c r="E4" s="656" t="s">
        <v>604</v>
      </c>
      <c r="F4" s="657" t="s">
        <v>623</v>
      </c>
      <c r="G4" s="658" t="s">
        <v>544</v>
      </c>
      <c r="H4" s="658" t="s">
        <v>544</v>
      </c>
    </row>
    <row r="5" spans="1:8" s="663" customFormat="1" ht="20.25" x14ac:dyDescent="0.25">
      <c r="A5" s="659" t="s">
        <v>310</v>
      </c>
      <c r="B5" s="660" t="s">
        <v>311</v>
      </c>
      <c r="C5" s="661">
        <v>2</v>
      </c>
      <c r="D5" s="662">
        <v>3</v>
      </c>
      <c r="E5" s="662">
        <v>4</v>
      </c>
      <c r="F5" s="38">
        <v>5</v>
      </c>
      <c r="G5" s="38" t="s">
        <v>543</v>
      </c>
      <c r="H5" s="38" t="s">
        <v>548</v>
      </c>
    </row>
    <row r="6" spans="1:8" s="652" customFormat="1" ht="19.5" x14ac:dyDescent="0.25">
      <c r="A6" s="730" t="s">
        <v>312</v>
      </c>
      <c r="B6" s="731" t="s">
        <v>313</v>
      </c>
      <c r="C6" s="732">
        <f t="shared" ref="C6:E6" si="0">C7+C198+C298+C361+C377+C397+C403+C437+C443+C491</f>
        <v>4952099.2005000012</v>
      </c>
      <c r="D6" s="732">
        <f t="shared" si="0"/>
        <v>4247373.5</v>
      </c>
      <c r="E6" s="732">
        <f t="shared" si="0"/>
        <v>4193568.41</v>
      </c>
      <c r="F6" s="732">
        <f>F7+F198+F298+F361+F377+F397+F403+F437+F443+F491</f>
        <v>4777418.12</v>
      </c>
      <c r="G6" s="733">
        <f>IFERROR(F6/D6*100,F6)</f>
        <v>112.47935035616716</v>
      </c>
      <c r="H6" s="733">
        <f>IFERROR(F6/E6*100,F6)</f>
        <v>113.92250353202178</v>
      </c>
    </row>
    <row r="7" spans="1:8" s="664" customFormat="1" x14ac:dyDescent="0.25">
      <c r="A7" s="728">
        <v>43</v>
      </c>
      <c r="B7" s="729" t="s">
        <v>56</v>
      </c>
      <c r="C7" s="722">
        <f>C8+C163</f>
        <v>4777402.2705000006</v>
      </c>
      <c r="D7" s="722">
        <f>D8+D163</f>
        <v>4009442.56</v>
      </c>
      <c r="E7" s="722">
        <f>E8+E163</f>
        <v>3705637.47</v>
      </c>
      <c r="F7" s="722">
        <f>F8+F163</f>
        <v>4378780.26</v>
      </c>
      <c r="G7" s="723">
        <f t="shared" ref="G7:G70" si="1">IFERROR(F7/D7*100,F7)</f>
        <v>109.21169699959488</v>
      </c>
      <c r="H7" s="723">
        <f t="shared" ref="H7:H70" si="2">IFERROR(F7/E7*100,F7)</f>
        <v>118.16537088286726</v>
      </c>
    </row>
    <row r="8" spans="1:8" s="667" customFormat="1" x14ac:dyDescent="0.25">
      <c r="A8" s="734">
        <v>3</v>
      </c>
      <c r="B8" s="735" t="s">
        <v>87</v>
      </c>
      <c r="C8" s="736">
        <f>C9+C32+C129+C141+C144+C149</f>
        <v>4756406.2405000003</v>
      </c>
      <c r="D8" s="736">
        <f>D9+D32+D129+D141+D144+D149</f>
        <v>3883930.39</v>
      </c>
      <c r="E8" s="736">
        <f>E9+E32+E129+E141+E144+E149</f>
        <v>3580125.3000000003</v>
      </c>
      <c r="F8" s="736">
        <f>F9+F32+F129+F141+F144+F149</f>
        <v>4374707.8499999996</v>
      </c>
      <c r="G8" s="737">
        <f t="shared" si="1"/>
        <v>112.63610339834128</v>
      </c>
      <c r="H8" s="737">
        <f t="shared" si="2"/>
        <v>122.19426649676197</v>
      </c>
    </row>
    <row r="9" spans="1:8" s="652" customFormat="1" x14ac:dyDescent="0.25">
      <c r="A9" s="746">
        <v>31</v>
      </c>
      <c r="B9" s="747" t="s">
        <v>88</v>
      </c>
      <c r="C9" s="748">
        <f>C10+C19+C27</f>
        <v>4058051.56</v>
      </c>
      <c r="D9" s="748">
        <f>D10+D19+D27</f>
        <v>3042112.29</v>
      </c>
      <c r="E9" s="748">
        <f>E10+E19+E27</f>
        <v>3002112.29</v>
      </c>
      <c r="F9" s="748">
        <f t="shared" ref="F9" si="3">F10+F19+F27</f>
        <v>3953169.4800000004</v>
      </c>
      <c r="G9" s="749">
        <f t="shared" si="1"/>
        <v>129.94817755395874</v>
      </c>
      <c r="H9" s="749">
        <f t="shared" si="2"/>
        <v>131.67960083198622</v>
      </c>
    </row>
    <row r="10" spans="1:8" s="663" customFormat="1" x14ac:dyDescent="0.25">
      <c r="A10" s="39">
        <v>311</v>
      </c>
      <c r="B10" s="40" t="s">
        <v>89</v>
      </c>
      <c r="C10" s="665">
        <f>C11+C14+C15+C17</f>
        <v>3379334.8000000003</v>
      </c>
      <c r="D10" s="665">
        <f>D11+D14+D15+D17</f>
        <v>2505491.41</v>
      </c>
      <c r="E10" s="665">
        <f>E11+E14+E15+E17</f>
        <v>2505491.41</v>
      </c>
      <c r="F10" s="665">
        <f t="shared" ref="F10" si="4">F11+F14+F15+F17</f>
        <v>3314839.6600000006</v>
      </c>
      <c r="G10" s="666">
        <f t="shared" si="1"/>
        <v>132.30297444923193</v>
      </c>
      <c r="H10" s="666">
        <f t="shared" si="2"/>
        <v>132.30297444923193</v>
      </c>
    </row>
    <row r="11" spans="1:8" s="663" customFormat="1" x14ac:dyDescent="0.25">
      <c r="A11" s="39">
        <v>3111</v>
      </c>
      <c r="B11" s="40" t="s">
        <v>90</v>
      </c>
      <c r="C11" s="665">
        <f>SUM(C12:C13)</f>
        <v>3257753.0700000003</v>
      </c>
      <c r="D11" s="665">
        <f>SUM(D12:D13)</f>
        <v>2456383.9700000002</v>
      </c>
      <c r="E11" s="665">
        <f>SUM(E12:E13)</f>
        <v>2456383.9700000002</v>
      </c>
      <c r="F11" s="665">
        <f>SUM(F12:F13)</f>
        <v>3214978.0700000008</v>
      </c>
      <c r="G11" s="666">
        <f t="shared" si="1"/>
        <v>130.88255375644715</v>
      </c>
      <c r="H11" s="666">
        <f t="shared" si="2"/>
        <v>130.88255375644715</v>
      </c>
    </row>
    <row r="12" spans="1:8" x14ac:dyDescent="0.25">
      <c r="A12" s="41" t="s">
        <v>465</v>
      </c>
      <c r="B12" s="42" t="s">
        <v>90</v>
      </c>
      <c r="C12" s="668">
        <v>3256037.08</v>
      </c>
      <c r="D12" s="668">
        <v>2451383.9700000002</v>
      </c>
      <c r="E12" s="668">
        <v>2451383.9700000002</v>
      </c>
      <c r="F12" s="668">
        <f>3311673.68+3935.98-F203-F549-F568-F590-F615-F644-F724</f>
        <v>3214978.0700000008</v>
      </c>
      <c r="G12" s="669">
        <f t="shared" si="1"/>
        <v>131.14951020912486</v>
      </c>
      <c r="H12" s="669">
        <f t="shared" si="2"/>
        <v>131.14951020912486</v>
      </c>
    </row>
    <row r="13" spans="1:8" x14ac:dyDescent="0.25">
      <c r="A13" s="41" t="s">
        <v>466</v>
      </c>
      <c r="B13" s="42" t="s">
        <v>380</v>
      </c>
      <c r="C13" s="668">
        <v>1715.99</v>
      </c>
      <c r="D13" s="668">
        <v>5000</v>
      </c>
      <c r="E13" s="668">
        <v>5000</v>
      </c>
      <c r="F13" s="668"/>
      <c r="G13" s="669">
        <f t="shared" si="1"/>
        <v>0</v>
      </c>
      <c r="H13" s="669">
        <f t="shared" si="2"/>
        <v>0</v>
      </c>
    </row>
    <row r="14" spans="1:8" hidden="1" x14ac:dyDescent="0.25">
      <c r="A14" s="39" t="s">
        <v>91</v>
      </c>
      <c r="B14" s="40" t="s">
        <v>92</v>
      </c>
      <c r="C14" s="671"/>
      <c r="D14" s="671"/>
      <c r="E14" s="671"/>
      <c r="F14" s="671"/>
      <c r="G14" s="672">
        <f t="shared" si="1"/>
        <v>0</v>
      </c>
      <c r="H14" s="672">
        <f t="shared" si="2"/>
        <v>0</v>
      </c>
    </row>
    <row r="15" spans="1:8" x14ac:dyDescent="0.25">
      <c r="A15" s="39" t="s">
        <v>93</v>
      </c>
      <c r="B15" s="40" t="s">
        <v>94</v>
      </c>
      <c r="C15" s="671">
        <f>SUM(C16)</f>
        <v>79831.87</v>
      </c>
      <c r="D15" s="671">
        <f>SUM(D16)</f>
        <v>49107.44</v>
      </c>
      <c r="E15" s="671">
        <f>SUM(E16)</f>
        <v>49107.44</v>
      </c>
      <c r="F15" s="671">
        <f t="shared" ref="F15" si="5">SUM(F16)</f>
        <v>99861.59</v>
      </c>
      <c r="G15" s="672">
        <f t="shared" si="1"/>
        <v>203.35328007324347</v>
      </c>
      <c r="H15" s="672">
        <f t="shared" si="2"/>
        <v>203.35328007324347</v>
      </c>
    </row>
    <row r="16" spans="1:8" x14ac:dyDescent="0.25">
      <c r="A16" s="41" t="s">
        <v>467</v>
      </c>
      <c r="B16" s="42" t="s">
        <v>94</v>
      </c>
      <c r="C16" s="668">
        <v>79831.87</v>
      </c>
      <c r="D16" s="668">
        <v>49107.44</v>
      </c>
      <c r="E16" s="668">
        <v>49107.44</v>
      </c>
      <c r="F16" s="668">
        <f>99861.59</f>
        <v>99861.59</v>
      </c>
      <c r="G16" s="669">
        <f t="shared" si="1"/>
        <v>203.35328007324347</v>
      </c>
      <c r="H16" s="669">
        <f t="shared" si="2"/>
        <v>203.35328007324347</v>
      </c>
    </row>
    <row r="17" spans="1:8" x14ac:dyDescent="0.25">
      <c r="A17" s="39" t="s">
        <v>95</v>
      </c>
      <c r="B17" s="40" t="s">
        <v>211</v>
      </c>
      <c r="C17" s="671">
        <f>SUM(C18)</f>
        <v>41749.86</v>
      </c>
      <c r="D17" s="671">
        <f>SUM(D18)</f>
        <v>0</v>
      </c>
      <c r="E17" s="671">
        <f>SUM(E18)</f>
        <v>0</v>
      </c>
      <c r="F17" s="671">
        <f t="shared" ref="F17" si="6">SUM(F18)</f>
        <v>0</v>
      </c>
      <c r="G17" s="672">
        <f t="shared" si="1"/>
        <v>0</v>
      </c>
      <c r="H17" s="672">
        <f t="shared" si="2"/>
        <v>0</v>
      </c>
    </row>
    <row r="18" spans="1:8" x14ac:dyDescent="0.25">
      <c r="A18" s="41" t="s">
        <v>468</v>
      </c>
      <c r="B18" s="42" t="s">
        <v>211</v>
      </c>
      <c r="C18" s="668">
        <v>41749.86</v>
      </c>
      <c r="D18" s="668">
        <v>0</v>
      </c>
      <c r="E18" s="668"/>
      <c r="F18" s="668">
        <f>0-F207-F677</f>
        <v>0</v>
      </c>
      <c r="G18" s="669">
        <f t="shared" si="1"/>
        <v>0</v>
      </c>
      <c r="H18" s="669">
        <f t="shared" si="2"/>
        <v>0</v>
      </c>
    </row>
    <row r="19" spans="1:8" x14ac:dyDescent="0.25">
      <c r="A19" s="39" t="s">
        <v>97</v>
      </c>
      <c r="B19" s="40" t="s">
        <v>98</v>
      </c>
      <c r="C19" s="665">
        <f>C20</f>
        <v>142684.44</v>
      </c>
      <c r="D19" s="665">
        <f>D20</f>
        <v>123214.88</v>
      </c>
      <c r="E19" s="665">
        <f>E20</f>
        <v>123214.88</v>
      </c>
      <c r="F19" s="665">
        <f t="shared" ref="F19" si="7">F20</f>
        <v>127637.11</v>
      </c>
      <c r="G19" s="666">
        <f t="shared" si="1"/>
        <v>103.58903892127313</v>
      </c>
      <c r="H19" s="666">
        <f t="shared" si="2"/>
        <v>103.58903892127313</v>
      </c>
    </row>
    <row r="20" spans="1:8" x14ac:dyDescent="0.25">
      <c r="A20" s="39" t="s">
        <v>99</v>
      </c>
      <c r="B20" s="40" t="s">
        <v>98</v>
      </c>
      <c r="C20" s="665">
        <f>SUM(C21:C26)</f>
        <v>142684.44</v>
      </c>
      <c r="D20" s="665">
        <f>SUM(D21:D26)</f>
        <v>123214.88</v>
      </c>
      <c r="E20" s="665">
        <f>SUM(E21:E26)</f>
        <v>123214.88</v>
      </c>
      <c r="F20" s="665">
        <f t="shared" ref="F20" si="8">SUM(F21:F26)</f>
        <v>127637.11</v>
      </c>
      <c r="G20" s="666">
        <f t="shared" si="1"/>
        <v>103.58903892127313</v>
      </c>
      <c r="H20" s="666">
        <f t="shared" si="2"/>
        <v>103.58903892127313</v>
      </c>
    </row>
    <row r="21" spans="1:8" x14ac:dyDescent="0.25">
      <c r="A21" s="41" t="s">
        <v>469</v>
      </c>
      <c r="B21" s="42" t="s">
        <v>382</v>
      </c>
      <c r="C21" s="673">
        <v>32979.199999999997</v>
      </c>
      <c r="D21" s="673">
        <v>13000</v>
      </c>
      <c r="E21" s="674">
        <v>13000</v>
      </c>
      <c r="F21" s="673">
        <f>39526.31-F496</f>
        <v>38567.75</v>
      </c>
      <c r="G21" s="675">
        <f t="shared" si="1"/>
        <v>296.67500000000001</v>
      </c>
      <c r="H21" s="675">
        <f t="shared" si="2"/>
        <v>296.67500000000001</v>
      </c>
    </row>
    <row r="22" spans="1:8" x14ac:dyDescent="0.25">
      <c r="A22" s="41" t="s">
        <v>470</v>
      </c>
      <c r="B22" s="42" t="s">
        <v>384</v>
      </c>
      <c r="C22" s="673">
        <v>30736.17</v>
      </c>
      <c r="D22" s="673">
        <v>25000</v>
      </c>
      <c r="E22" s="674">
        <v>25000</v>
      </c>
      <c r="F22" s="673">
        <f>22986.48-F497</f>
        <v>13945.039999999999</v>
      </c>
      <c r="G22" s="675">
        <f t="shared" si="1"/>
        <v>55.780160000000002</v>
      </c>
      <c r="H22" s="675">
        <f t="shared" si="2"/>
        <v>55.780160000000002</v>
      </c>
    </row>
    <row r="23" spans="1:8" x14ac:dyDescent="0.25">
      <c r="A23" s="41" t="s">
        <v>471</v>
      </c>
      <c r="B23" s="42" t="s">
        <v>383</v>
      </c>
      <c r="C23" s="673"/>
      <c r="D23" s="673">
        <v>2000</v>
      </c>
      <c r="E23" s="674">
        <v>2000</v>
      </c>
      <c r="F23" s="673">
        <v>0</v>
      </c>
      <c r="G23" s="675">
        <f t="shared" si="1"/>
        <v>0</v>
      </c>
      <c r="H23" s="675">
        <f t="shared" si="2"/>
        <v>0</v>
      </c>
    </row>
    <row r="24" spans="1:8" x14ac:dyDescent="0.25">
      <c r="A24" s="41" t="s">
        <v>472</v>
      </c>
      <c r="B24" s="42" t="s">
        <v>385</v>
      </c>
      <c r="C24" s="673">
        <v>4022.98</v>
      </c>
      <c r="D24" s="673">
        <v>3800</v>
      </c>
      <c r="E24" s="674">
        <v>3800</v>
      </c>
      <c r="F24" s="673">
        <v>2524.3200000000002</v>
      </c>
      <c r="G24" s="675">
        <f t="shared" si="1"/>
        <v>66.429473684210521</v>
      </c>
      <c r="H24" s="675">
        <f t="shared" si="2"/>
        <v>66.429473684210521</v>
      </c>
    </row>
    <row r="25" spans="1:8" x14ac:dyDescent="0.25">
      <c r="A25" s="41" t="s">
        <v>473</v>
      </c>
      <c r="B25" s="42" t="s">
        <v>386</v>
      </c>
      <c r="C25" s="673">
        <v>39600</v>
      </c>
      <c r="D25" s="673">
        <v>40000</v>
      </c>
      <c r="E25" s="674">
        <v>40000</v>
      </c>
      <c r="F25" s="673">
        <f>36600-F618-F647</f>
        <v>36600</v>
      </c>
      <c r="G25" s="675">
        <f t="shared" si="1"/>
        <v>91.5</v>
      </c>
      <c r="H25" s="675">
        <f t="shared" si="2"/>
        <v>91.5</v>
      </c>
    </row>
    <row r="26" spans="1:8" s="676" customFormat="1" x14ac:dyDescent="0.25">
      <c r="A26" s="41" t="s">
        <v>474</v>
      </c>
      <c r="B26" s="42" t="s">
        <v>381</v>
      </c>
      <c r="C26" s="668">
        <v>35346.089999999997</v>
      </c>
      <c r="D26" s="668">
        <f>123214.88-D21-D22-D23-D24-D25</f>
        <v>39414.880000000005</v>
      </c>
      <c r="E26" s="668">
        <v>39414.880000000005</v>
      </c>
      <c r="F26" s="668">
        <f>39900-F210-F619-F648</f>
        <v>36000</v>
      </c>
      <c r="G26" s="669">
        <f t="shared" si="1"/>
        <v>91.336063943363513</v>
      </c>
      <c r="H26" s="669">
        <f t="shared" si="2"/>
        <v>91.336063943363513</v>
      </c>
    </row>
    <row r="27" spans="1:8" s="663" customFormat="1" x14ac:dyDescent="0.25">
      <c r="A27" s="39">
        <v>313</v>
      </c>
      <c r="B27" s="40" t="s">
        <v>100</v>
      </c>
      <c r="C27" s="665">
        <f>C28+C30</f>
        <v>536032.31999999995</v>
      </c>
      <c r="D27" s="665">
        <f>D28+D30</f>
        <v>413406</v>
      </c>
      <c r="E27" s="665">
        <f>E28+E30</f>
        <v>373406</v>
      </c>
      <c r="F27" s="677">
        <f t="shared" ref="F27" si="9">F28+F30</f>
        <v>510692.7099999999</v>
      </c>
      <c r="G27" s="678">
        <f t="shared" si="1"/>
        <v>123.5329700101111</v>
      </c>
      <c r="H27" s="678">
        <f t="shared" si="2"/>
        <v>136.76606964001647</v>
      </c>
    </row>
    <row r="28" spans="1:8" s="663" customFormat="1" x14ac:dyDescent="0.25">
      <c r="A28" s="39">
        <v>3132</v>
      </c>
      <c r="B28" s="40" t="s">
        <v>101</v>
      </c>
      <c r="C28" s="665">
        <f>SUM(C29)</f>
        <v>535994.57999999996</v>
      </c>
      <c r="D28" s="665">
        <f>SUM(D29)</f>
        <v>413406</v>
      </c>
      <c r="E28" s="665">
        <f>SUM(E29)</f>
        <v>373406</v>
      </c>
      <c r="F28" s="677">
        <f t="shared" ref="F28" si="10">SUM(F29)</f>
        <v>510680.39999999991</v>
      </c>
      <c r="G28" s="678">
        <f t="shared" si="1"/>
        <v>123.52999230780392</v>
      </c>
      <c r="H28" s="678">
        <f t="shared" si="2"/>
        <v>136.76277296026308</v>
      </c>
    </row>
    <row r="29" spans="1:8" x14ac:dyDescent="0.25">
      <c r="A29" s="41" t="s">
        <v>475</v>
      </c>
      <c r="B29" s="42" t="s">
        <v>101</v>
      </c>
      <c r="C29" s="668">
        <v>535994.57999999996</v>
      </c>
      <c r="D29" s="668">
        <v>413406</v>
      </c>
      <c r="E29" s="668">
        <f>373406</f>
        <v>373406</v>
      </c>
      <c r="F29" s="668">
        <f>558972.6-F213-F310-F402-F554-F573-F595-F622-F651-F727</f>
        <v>510680.39999999991</v>
      </c>
      <c r="G29" s="669">
        <f t="shared" si="1"/>
        <v>123.52999230780392</v>
      </c>
      <c r="H29" s="669">
        <f t="shared" si="2"/>
        <v>136.76277296026308</v>
      </c>
    </row>
    <row r="30" spans="1:8" x14ac:dyDescent="0.25">
      <c r="A30" s="39" t="s">
        <v>314</v>
      </c>
      <c r="B30" s="40" t="s">
        <v>566</v>
      </c>
      <c r="C30" s="665">
        <f>C31</f>
        <v>37.74</v>
      </c>
      <c r="D30" s="665">
        <f>D31</f>
        <v>0</v>
      </c>
      <c r="E30" s="665">
        <f>E31</f>
        <v>0</v>
      </c>
      <c r="F30" s="677">
        <f>F31</f>
        <v>12.31</v>
      </c>
      <c r="G30" s="678">
        <f t="shared" si="1"/>
        <v>12.31</v>
      </c>
      <c r="H30" s="678">
        <f t="shared" si="2"/>
        <v>12.31</v>
      </c>
    </row>
    <row r="31" spans="1:8" x14ac:dyDescent="0.25">
      <c r="A31" s="41" t="s">
        <v>564</v>
      </c>
      <c r="B31" s="42" t="s">
        <v>565</v>
      </c>
      <c r="C31" s="673">
        <v>37.74</v>
      </c>
      <c r="D31" s="673"/>
      <c r="E31" s="673"/>
      <c r="F31" s="673">
        <v>12.31</v>
      </c>
      <c r="G31" s="675">
        <f t="shared" si="1"/>
        <v>12.31</v>
      </c>
      <c r="H31" s="675">
        <f t="shared" si="2"/>
        <v>12.31</v>
      </c>
    </row>
    <row r="32" spans="1:8" x14ac:dyDescent="0.25">
      <c r="A32" s="746">
        <v>32</v>
      </c>
      <c r="B32" s="747" t="s">
        <v>102</v>
      </c>
      <c r="C32" s="748">
        <f>C33+C45+C70+C101+C108</f>
        <v>682391.78050000011</v>
      </c>
      <c r="D32" s="748">
        <f>D33+D45+D70+D101+D108</f>
        <v>829345.58000000007</v>
      </c>
      <c r="E32" s="748">
        <f>E33+E45+E70+E101+E104+E108</f>
        <v>565540.49</v>
      </c>
      <c r="F32" s="748">
        <f t="shared" ref="F32" si="11">F33+F45+F70+F101+F104+F108</f>
        <v>414295.3899999999</v>
      </c>
      <c r="G32" s="749">
        <f t="shared" si="1"/>
        <v>49.954494241109941</v>
      </c>
      <c r="H32" s="749">
        <f t="shared" si="2"/>
        <v>73.256539067609452</v>
      </c>
    </row>
    <row r="33" spans="1:8" s="663" customFormat="1" x14ac:dyDescent="0.25">
      <c r="A33" s="39">
        <v>321</v>
      </c>
      <c r="B33" s="40" t="s">
        <v>103</v>
      </c>
      <c r="C33" s="665">
        <f>C34+C38+C40+C43</f>
        <v>100222.78050000001</v>
      </c>
      <c r="D33" s="665">
        <f>D34+D38+D40+D43</f>
        <v>106441.57</v>
      </c>
      <c r="E33" s="665">
        <f>E34+E38+E40+E43</f>
        <v>106441.57</v>
      </c>
      <c r="F33" s="665">
        <f t="shared" ref="F33" si="12">F34+F38+F40+F43</f>
        <v>82014.11</v>
      </c>
      <c r="G33" s="666">
        <f t="shared" si="1"/>
        <v>77.050827040600765</v>
      </c>
      <c r="H33" s="666">
        <f t="shared" si="2"/>
        <v>77.050827040600765</v>
      </c>
    </row>
    <row r="34" spans="1:8" s="663" customFormat="1" x14ac:dyDescent="0.25">
      <c r="A34" s="39" t="s">
        <v>104</v>
      </c>
      <c r="B34" s="40" t="s">
        <v>105</v>
      </c>
      <c r="C34" s="665">
        <f>SUM(C35:C37)</f>
        <v>3262.2404999999999</v>
      </c>
      <c r="D34" s="665">
        <f>SUM(D35:D37)</f>
        <v>18977.240000000002</v>
      </c>
      <c r="E34" s="665">
        <f>SUM(E35:E37)</f>
        <v>18977.240000000002</v>
      </c>
      <c r="F34" s="665">
        <f t="shared" ref="F34" si="13">SUM(F35:F37)</f>
        <v>1596.2900000000004</v>
      </c>
      <c r="G34" s="666">
        <f t="shared" si="1"/>
        <v>8.4116025301887962</v>
      </c>
      <c r="H34" s="666">
        <f t="shared" si="2"/>
        <v>8.4116025301887962</v>
      </c>
    </row>
    <row r="35" spans="1:8" s="663" customFormat="1" x14ac:dyDescent="0.25">
      <c r="A35" s="41">
        <v>32111</v>
      </c>
      <c r="B35" s="42" t="s">
        <v>387</v>
      </c>
      <c r="C35" s="673">
        <v>2952.7505000000001</v>
      </c>
      <c r="D35" s="673">
        <v>11800</v>
      </c>
      <c r="E35" s="673">
        <v>11800</v>
      </c>
      <c r="F35" s="673">
        <f>3349.32-F366-F599-F626-F655-F731</f>
        <v>1140.0000000000002</v>
      </c>
      <c r="G35" s="675">
        <f t="shared" si="1"/>
        <v>9.6610169491525433</v>
      </c>
      <c r="H35" s="675">
        <f t="shared" si="2"/>
        <v>9.6610169491525433</v>
      </c>
    </row>
    <row r="36" spans="1:8" s="663" customFormat="1" x14ac:dyDescent="0.25">
      <c r="A36" s="41">
        <v>32113</v>
      </c>
      <c r="B36" s="42" t="s">
        <v>389</v>
      </c>
      <c r="C36" s="673">
        <v>0</v>
      </c>
      <c r="D36" s="673">
        <v>700</v>
      </c>
      <c r="E36" s="673">
        <v>700</v>
      </c>
      <c r="F36" s="673">
        <f>827.6-F656-F732</f>
        <v>227.60000000000002</v>
      </c>
      <c r="G36" s="675">
        <f t="shared" si="1"/>
        <v>32.51428571428572</v>
      </c>
      <c r="H36" s="675">
        <f t="shared" si="2"/>
        <v>32.51428571428572</v>
      </c>
    </row>
    <row r="37" spans="1:8" x14ac:dyDescent="0.25">
      <c r="A37" s="41">
        <v>32115</v>
      </c>
      <c r="B37" s="42" t="s">
        <v>390</v>
      </c>
      <c r="C37" s="668">
        <v>309.49</v>
      </c>
      <c r="D37" s="668">
        <f>18977.24-D35-D36</f>
        <v>6477.2400000000016</v>
      </c>
      <c r="E37" s="668">
        <v>6477.2400000000016</v>
      </c>
      <c r="F37" s="668">
        <f>931.4-F217-F367-F657-F733</f>
        <v>228.68999999999994</v>
      </c>
      <c r="G37" s="669">
        <f t="shared" si="1"/>
        <v>3.530670470756061</v>
      </c>
      <c r="H37" s="669">
        <f t="shared" si="2"/>
        <v>3.530670470756061</v>
      </c>
    </row>
    <row r="38" spans="1:8" x14ac:dyDescent="0.25">
      <c r="A38" s="39" t="s">
        <v>106</v>
      </c>
      <c r="B38" s="43" t="s">
        <v>107</v>
      </c>
      <c r="C38" s="671">
        <f>SUM(C39)</f>
        <v>92041.02</v>
      </c>
      <c r="D38" s="671">
        <f>SUM(D39)</f>
        <v>82288.14</v>
      </c>
      <c r="E38" s="671">
        <f>SUM(E39)</f>
        <v>82288.14</v>
      </c>
      <c r="F38" s="671">
        <f t="shared" ref="F38" si="14">SUM(F39)</f>
        <v>76715.8</v>
      </c>
      <c r="G38" s="672">
        <f t="shared" si="1"/>
        <v>93.228258653069574</v>
      </c>
      <c r="H38" s="672">
        <f t="shared" si="2"/>
        <v>93.228258653069574</v>
      </c>
    </row>
    <row r="39" spans="1:8" s="676" customFormat="1" x14ac:dyDescent="0.25">
      <c r="A39" s="41" t="s">
        <v>476</v>
      </c>
      <c r="B39" s="44" t="s">
        <v>107</v>
      </c>
      <c r="C39" s="668">
        <v>92041.02</v>
      </c>
      <c r="D39" s="668">
        <v>82288.14</v>
      </c>
      <c r="E39" s="668">
        <v>82288.14</v>
      </c>
      <c r="F39" s="668">
        <f>91748.23+339.77-F219-F628-F659-F735</f>
        <v>76715.8</v>
      </c>
      <c r="G39" s="669">
        <f t="shared" si="1"/>
        <v>93.228258653069574</v>
      </c>
      <c r="H39" s="669">
        <f t="shared" si="2"/>
        <v>93.228258653069574</v>
      </c>
    </row>
    <row r="40" spans="1:8" s="676" customFormat="1" x14ac:dyDescent="0.25">
      <c r="A40" s="39" t="s">
        <v>108</v>
      </c>
      <c r="B40" s="43" t="s">
        <v>109</v>
      </c>
      <c r="C40" s="671">
        <f>SUM(C41:C42)</f>
        <v>4919.5200000000004</v>
      </c>
      <c r="D40" s="671">
        <f>SUM(D41:D42)</f>
        <v>4778.0200000000004</v>
      </c>
      <c r="E40" s="671">
        <f>SUM(E41:E42)</f>
        <v>4778.0200000000004</v>
      </c>
      <c r="F40" s="671">
        <f>SUM(F41:F42)</f>
        <v>3702.02</v>
      </c>
      <c r="G40" s="672">
        <f t="shared" si="1"/>
        <v>77.480211468348799</v>
      </c>
      <c r="H40" s="672">
        <f t="shared" si="2"/>
        <v>77.480211468348799</v>
      </c>
    </row>
    <row r="41" spans="1:8" s="676" customFormat="1" x14ac:dyDescent="0.25">
      <c r="A41" s="41">
        <v>32131</v>
      </c>
      <c r="B41" s="44" t="s">
        <v>391</v>
      </c>
      <c r="C41" s="668">
        <v>1080</v>
      </c>
      <c r="D41" s="668">
        <v>2200</v>
      </c>
      <c r="E41" s="668">
        <v>2200</v>
      </c>
      <c r="F41" s="668">
        <f>1802.75-F448</f>
        <v>1571.5</v>
      </c>
      <c r="G41" s="669">
        <f t="shared" si="1"/>
        <v>71.431818181818187</v>
      </c>
      <c r="H41" s="669">
        <f t="shared" si="2"/>
        <v>71.431818181818187</v>
      </c>
    </row>
    <row r="42" spans="1:8" x14ac:dyDescent="0.25">
      <c r="A42" s="41">
        <v>32132</v>
      </c>
      <c r="B42" s="44" t="s">
        <v>392</v>
      </c>
      <c r="C42" s="668">
        <v>3839.52</v>
      </c>
      <c r="D42" s="668">
        <f>4778.02-D41</f>
        <v>2578.0200000000004</v>
      </c>
      <c r="E42" s="668">
        <v>2578.0200000000004</v>
      </c>
      <c r="F42" s="668">
        <f>2794.13-F221-F630-F661-F737</f>
        <v>2130.52</v>
      </c>
      <c r="G42" s="669">
        <f t="shared" si="1"/>
        <v>82.641717286910094</v>
      </c>
      <c r="H42" s="669">
        <f t="shared" si="2"/>
        <v>82.641717286910094</v>
      </c>
    </row>
    <row r="43" spans="1:8" x14ac:dyDescent="0.25">
      <c r="A43" s="39" t="s">
        <v>110</v>
      </c>
      <c r="B43" s="43" t="s">
        <v>111</v>
      </c>
      <c r="C43" s="671">
        <f>SUM(C44)</f>
        <v>0</v>
      </c>
      <c r="D43" s="671">
        <f>SUM(D44)</f>
        <v>398.17</v>
      </c>
      <c r="E43" s="671">
        <f>SUM(E44)</f>
        <v>398.17</v>
      </c>
      <c r="F43" s="671">
        <f t="shared" ref="F43" si="15">SUM(F44)</f>
        <v>0</v>
      </c>
      <c r="G43" s="672">
        <f t="shared" si="1"/>
        <v>0</v>
      </c>
      <c r="H43" s="672">
        <f t="shared" si="2"/>
        <v>0</v>
      </c>
    </row>
    <row r="44" spans="1:8" x14ac:dyDescent="0.25">
      <c r="A44" s="41" t="s">
        <v>477</v>
      </c>
      <c r="B44" s="44" t="s">
        <v>393</v>
      </c>
      <c r="C44" s="668">
        <v>0</v>
      </c>
      <c r="D44" s="668">
        <v>398.17</v>
      </c>
      <c r="E44" s="668">
        <v>398.17</v>
      </c>
      <c r="F44" s="668">
        <v>0</v>
      </c>
      <c r="G44" s="669">
        <f t="shared" si="1"/>
        <v>0</v>
      </c>
      <c r="H44" s="669">
        <f t="shared" si="2"/>
        <v>0</v>
      </c>
    </row>
    <row r="45" spans="1:8" x14ac:dyDescent="0.25">
      <c r="A45" s="39" t="s">
        <v>112</v>
      </c>
      <c r="B45" s="43" t="s">
        <v>113</v>
      </c>
      <c r="C45" s="665">
        <f>C46+C52+C56+C61+C66+C68</f>
        <v>361175.70000000007</v>
      </c>
      <c r="D45" s="665">
        <f>D46+D52+D56+D61+D66+D68</f>
        <v>431866.74</v>
      </c>
      <c r="E45" s="665">
        <f>E46+E52+E56+E61+E66+E68</f>
        <v>146061.65000000002</v>
      </c>
      <c r="F45" s="665">
        <f t="shared" ref="F45" si="16">F46+F52+F56+F61+F66+F68</f>
        <v>71511.19</v>
      </c>
      <c r="G45" s="666">
        <f t="shared" si="1"/>
        <v>16.55862407927038</v>
      </c>
      <c r="H45" s="666">
        <f t="shared" si="2"/>
        <v>48.959593431951504</v>
      </c>
    </row>
    <row r="46" spans="1:8" x14ac:dyDescent="0.25">
      <c r="A46" s="39" t="s">
        <v>114</v>
      </c>
      <c r="B46" s="40" t="s">
        <v>115</v>
      </c>
      <c r="C46" s="665">
        <f>SUM(C47:C51)</f>
        <v>29125.119999999995</v>
      </c>
      <c r="D46" s="665">
        <f>SUM(D47:D51)</f>
        <v>29862.63</v>
      </c>
      <c r="E46" s="665">
        <f>SUM(E47:E51)</f>
        <v>29862.63</v>
      </c>
      <c r="F46" s="665">
        <f>SUM(F47:F51)</f>
        <v>14956.25</v>
      </c>
      <c r="G46" s="666">
        <f t="shared" si="1"/>
        <v>50.083499008627165</v>
      </c>
      <c r="H46" s="666">
        <f t="shared" si="2"/>
        <v>50.083499008627165</v>
      </c>
    </row>
    <row r="47" spans="1:8" x14ac:dyDescent="0.25">
      <c r="A47" s="41">
        <v>32211</v>
      </c>
      <c r="B47" s="42" t="s">
        <v>394</v>
      </c>
      <c r="C47" s="673">
        <v>13687.63</v>
      </c>
      <c r="D47" s="673">
        <v>12000</v>
      </c>
      <c r="E47" s="673">
        <v>12000</v>
      </c>
      <c r="F47" s="673">
        <f>11242.91-F225-F408-F451-F692-F740</f>
        <v>7384.829999999999</v>
      </c>
      <c r="G47" s="675">
        <f t="shared" si="1"/>
        <v>61.540249999999993</v>
      </c>
      <c r="H47" s="675">
        <f t="shared" si="2"/>
        <v>61.540249999999993</v>
      </c>
    </row>
    <row r="48" spans="1:8" x14ac:dyDescent="0.25">
      <c r="A48" s="41">
        <v>32212</v>
      </c>
      <c r="B48" s="44" t="s">
        <v>395</v>
      </c>
      <c r="C48" s="673">
        <v>0</v>
      </c>
      <c r="D48" s="673">
        <v>500</v>
      </c>
      <c r="E48" s="673">
        <v>500</v>
      </c>
      <c r="F48" s="673">
        <f>565</f>
        <v>565</v>
      </c>
      <c r="G48" s="675">
        <f t="shared" si="1"/>
        <v>112.99999999999999</v>
      </c>
      <c r="H48" s="675">
        <f t="shared" si="2"/>
        <v>112.99999999999999</v>
      </c>
    </row>
    <row r="49" spans="1:8" x14ac:dyDescent="0.25">
      <c r="A49" s="41">
        <v>32214</v>
      </c>
      <c r="B49" s="44" t="s">
        <v>396</v>
      </c>
      <c r="C49" s="673">
        <v>13369.64</v>
      </c>
      <c r="D49" s="673">
        <v>15000</v>
      </c>
      <c r="E49" s="673">
        <v>15000</v>
      </c>
      <c r="F49" s="673">
        <f>10713.26-F315-F409-F452</f>
        <v>5909.9000000000005</v>
      </c>
      <c r="G49" s="675">
        <f t="shared" si="1"/>
        <v>39.399333333333338</v>
      </c>
      <c r="H49" s="675">
        <f t="shared" si="2"/>
        <v>39.399333333333338</v>
      </c>
    </row>
    <row r="50" spans="1:8" x14ac:dyDescent="0.25">
      <c r="A50" s="41">
        <v>32215</v>
      </c>
      <c r="B50" s="44" t="s">
        <v>397</v>
      </c>
      <c r="C50" s="673">
        <v>0</v>
      </c>
      <c r="D50" s="673">
        <v>700</v>
      </c>
      <c r="E50" s="673">
        <v>700</v>
      </c>
      <c r="F50" s="673">
        <v>0</v>
      </c>
      <c r="G50" s="675">
        <f t="shared" si="1"/>
        <v>0</v>
      </c>
      <c r="H50" s="675">
        <f t="shared" si="2"/>
        <v>0</v>
      </c>
    </row>
    <row r="51" spans="1:8" s="676" customFormat="1" x14ac:dyDescent="0.25">
      <c r="A51" s="41">
        <v>32219</v>
      </c>
      <c r="B51" s="42" t="s">
        <v>398</v>
      </c>
      <c r="C51" s="679">
        <v>2067.85</v>
      </c>
      <c r="D51" s="679">
        <f>29862.63-D47-D48-D49-D50</f>
        <v>1662.630000000001</v>
      </c>
      <c r="E51" s="679">
        <v>1662.630000000001</v>
      </c>
      <c r="F51" s="679">
        <f>4028.32-F453-F603-F741</f>
        <v>1096.5200000000004</v>
      </c>
      <c r="G51" s="680">
        <f t="shared" si="1"/>
        <v>65.950933160113777</v>
      </c>
      <c r="H51" s="680">
        <f t="shared" si="2"/>
        <v>65.950933160113777</v>
      </c>
    </row>
    <row r="52" spans="1:8" s="676" customFormat="1" x14ac:dyDescent="0.25">
      <c r="A52" s="39" t="s">
        <v>116</v>
      </c>
      <c r="B52" s="40" t="s">
        <v>117</v>
      </c>
      <c r="C52" s="671">
        <f>SUM(C53:C55)</f>
        <v>214691.74000000002</v>
      </c>
      <c r="D52" s="671">
        <f>SUM(D53:D55)</f>
        <v>191120.84</v>
      </c>
      <c r="E52" s="671">
        <f>SUM(E53:E55)</f>
        <v>0</v>
      </c>
      <c r="F52" s="671">
        <f t="shared" ref="F52" si="17">SUM(F53:F55)</f>
        <v>0</v>
      </c>
      <c r="G52" s="672">
        <f t="shared" si="1"/>
        <v>0</v>
      </c>
      <c r="H52" s="672">
        <f t="shared" si="2"/>
        <v>0</v>
      </c>
    </row>
    <row r="53" spans="1:8" s="676" customFormat="1" x14ac:dyDescent="0.25">
      <c r="A53" s="41" t="s">
        <v>478</v>
      </c>
      <c r="B53" s="42" t="s">
        <v>399</v>
      </c>
      <c r="C53" s="668">
        <v>199443.64</v>
      </c>
      <c r="D53" s="668">
        <v>170000</v>
      </c>
      <c r="E53" s="668"/>
      <c r="F53" s="668">
        <v>0</v>
      </c>
      <c r="G53" s="669">
        <f t="shared" si="1"/>
        <v>0</v>
      </c>
      <c r="H53" s="669">
        <f t="shared" si="2"/>
        <v>0</v>
      </c>
    </row>
    <row r="54" spans="1:8" s="676" customFormat="1" x14ac:dyDescent="0.25">
      <c r="A54" s="41" t="s">
        <v>479</v>
      </c>
      <c r="B54" s="42" t="s">
        <v>400</v>
      </c>
      <c r="C54" s="668">
        <v>15034.88</v>
      </c>
      <c r="D54" s="668">
        <v>20000</v>
      </c>
      <c r="E54" s="668"/>
      <c r="F54" s="668">
        <v>0</v>
      </c>
      <c r="G54" s="669">
        <f t="shared" si="1"/>
        <v>0</v>
      </c>
      <c r="H54" s="669">
        <f t="shared" si="2"/>
        <v>0</v>
      </c>
    </row>
    <row r="55" spans="1:8" x14ac:dyDescent="0.25">
      <c r="A55" s="41" t="s">
        <v>480</v>
      </c>
      <c r="B55" s="42" t="s">
        <v>401</v>
      </c>
      <c r="C55" s="668">
        <v>213.22</v>
      </c>
      <c r="D55" s="668">
        <f>191120.84-D53-D54</f>
        <v>1120.8399999999965</v>
      </c>
      <c r="E55" s="668"/>
      <c r="F55" s="668">
        <f>0</f>
        <v>0</v>
      </c>
      <c r="G55" s="669">
        <f t="shared" si="1"/>
        <v>0</v>
      </c>
      <c r="H55" s="669">
        <f t="shared" si="2"/>
        <v>0</v>
      </c>
    </row>
    <row r="56" spans="1:8" x14ac:dyDescent="0.25">
      <c r="A56" s="39" t="s">
        <v>118</v>
      </c>
      <c r="B56" s="40" t="s">
        <v>119</v>
      </c>
      <c r="C56" s="671">
        <f>SUM(C57:C60)</f>
        <v>107818.18</v>
      </c>
      <c r="D56" s="671">
        <f>SUM(D57:D60)</f>
        <v>181684.25</v>
      </c>
      <c r="E56" s="671">
        <f>SUM(E57:E60)</f>
        <v>87000</v>
      </c>
      <c r="F56" s="671">
        <f>SUM(F57:F60)</f>
        <v>52529.990000000005</v>
      </c>
      <c r="G56" s="672">
        <f t="shared" si="1"/>
        <v>28.912792385691112</v>
      </c>
      <c r="H56" s="672">
        <f t="shared" si="2"/>
        <v>60.379298850574713</v>
      </c>
    </row>
    <row r="57" spans="1:8" x14ac:dyDescent="0.25">
      <c r="A57" s="41" t="s">
        <v>481</v>
      </c>
      <c r="B57" s="42" t="s">
        <v>403</v>
      </c>
      <c r="C57" s="668">
        <v>26651.439999999999</v>
      </c>
      <c r="D57" s="668">
        <v>29000</v>
      </c>
      <c r="E57" s="668">
        <v>29000</v>
      </c>
      <c r="F57" s="668">
        <f>29871.18-F413-F455</f>
        <v>21318.82</v>
      </c>
      <c r="G57" s="669">
        <f t="shared" si="1"/>
        <v>73.5131724137931</v>
      </c>
      <c r="H57" s="669">
        <f t="shared" si="2"/>
        <v>73.5131724137931</v>
      </c>
    </row>
    <row r="58" spans="1:8" x14ac:dyDescent="0.25">
      <c r="A58" s="41" t="s">
        <v>482</v>
      </c>
      <c r="B58" s="42" t="s">
        <v>404</v>
      </c>
      <c r="C58" s="668">
        <v>2531.2399999999998</v>
      </c>
      <c r="D58" s="668">
        <v>2000</v>
      </c>
      <c r="E58" s="668">
        <v>2000</v>
      </c>
      <c r="F58" s="668">
        <f>2728.44-F456</f>
        <v>2555.02</v>
      </c>
      <c r="G58" s="669">
        <f t="shared" si="1"/>
        <v>127.75099999999999</v>
      </c>
      <c r="H58" s="669">
        <f t="shared" si="2"/>
        <v>127.75099999999999</v>
      </c>
    </row>
    <row r="59" spans="1:8" x14ac:dyDescent="0.25">
      <c r="A59" s="41" t="s">
        <v>483</v>
      </c>
      <c r="B59" s="42" t="s">
        <v>405</v>
      </c>
      <c r="C59" s="668">
        <v>21396.27</v>
      </c>
      <c r="D59" s="668">
        <v>36000</v>
      </c>
      <c r="E59" s="668">
        <v>36000</v>
      </c>
      <c r="F59" s="668">
        <f>34313.04-F230-F414-F457</f>
        <v>16226.57</v>
      </c>
      <c r="G59" s="669">
        <f t="shared" si="1"/>
        <v>45.073805555555559</v>
      </c>
      <c r="H59" s="669">
        <f t="shared" si="2"/>
        <v>45.073805555555559</v>
      </c>
    </row>
    <row r="60" spans="1:8" x14ac:dyDescent="0.25">
      <c r="A60" s="41" t="s">
        <v>484</v>
      </c>
      <c r="B60" s="42" t="s">
        <v>402</v>
      </c>
      <c r="C60" s="668">
        <v>57239.23</v>
      </c>
      <c r="D60" s="668">
        <f>181684.25-D57-D58-D59</f>
        <v>114684.25</v>
      </c>
      <c r="E60" s="668">
        <v>20000</v>
      </c>
      <c r="F60" s="668">
        <f>20750.41-F231-F458-F744</f>
        <v>12429.58</v>
      </c>
      <c r="G60" s="669">
        <f t="shared" si="1"/>
        <v>10.838088054811362</v>
      </c>
      <c r="H60" s="669">
        <f t="shared" si="2"/>
        <v>62.1479</v>
      </c>
    </row>
    <row r="61" spans="1:8" x14ac:dyDescent="0.25">
      <c r="A61" s="39" t="s">
        <v>120</v>
      </c>
      <c r="B61" s="43" t="s">
        <v>121</v>
      </c>
      <c r="C61" s="671">
        <f>SUM(C62:C65)</f>
        <v>1636.8400000000001</v>
      </c>
      <c r="D61" s="671">
        <f>SUM(D62:D65)</f>
        <v>13272.28</v>
      </c>
      <c r="E61" s="671">
        <f>SUM(E62:E65)</f>
        <v>13272.28</v>
      </c>
      <c r="F61" s="671">
        <f>SUM(F62:F65)</f>
        <v>3698.6700000000005</v>
      </c>
      <c r="G61" s="672">
        <f t="shared" si="1"/>
        <v>27.867630881807798</v>
      </c>
      <c r="H61" s="672">
        <f t="shared" si="2"/>
        <v>27.867630881807798</v>
      </c>
    </row>
    <row r="62" spans="1:8" x14ac:dyDescent="0.25">
      <c r="A62" s="41">
        <v>32241</v>
      </c>
      <c r="B62" s="42" t="s">
        <v>406</v>
      </c>
      <c r="C62" s="668">
        <v>1030.3800000000001</v>
      </c>
      <c r="D62" s="668">
        <v>7200</v>
      </c>
      <c r="E62" s="668">
        <v>7200</v>
      </c>
      <c r="F62" s="668">
        <f>2016.96-F460-F517-F786</f>
        <v>1664.54</v>
      </c>
      <c r="G62" s="669">
        <f t="shared" si="1"/>
        <v>23.118611111111107</v>
      </c>
      <c r="H62" s="669">
        <f t="shared" si="2"/>
        <v>23.118611111111107</v>
      </c>
    </row>
    <row r="63" spans="1:8" x14ac:dyDescent="0.25">
      <c r="A63" s="41">
        <v>32242</v>
      </c>
      <c r="B63" s="42" t="s">
        <v>408</v>
      </c>
      <c r="C63" s="668">
        <v>191.25</v>
      </c>
      <c r="D63" s="668">
        <v>3000</v>
      </c>
      <c r="E63" s="668">
        <v>3000</v>
      </c>
      <c r="F63" s="668">
        <f>2888.26-F461</f>
        <v>1861.0700000000002</v>
      </c>
      <c r="G63" s="669">
        <f t="shared" si="1"/>
        <v>62.035666666666664</v>
      </c>
      <c r="H63" s="669">
        <f t="shared" si="2"/>
        <v>62.035666666666664</v>
      </c>
    </row>
    <row r="64" spans="1:8" x14ac:dyDescent="0.25">
      <c r="A64" s="41">
        <v>32243</v>
      </c>
      <c r="B64" s="42" t="s">
        <v>407</v>
      </c>
      <c r="C64" s="668">
        <v>415.21</v>
      </c>
      <c r="D64" s="668">
        <v>2500</v>
      </c>
      <c r="E64" s="668">
        <v>2500</v>
      </c>
      <c r="F64" s="668">
        <f>159.8</f>
        <v>159.80000000000001</v>
      </c>
      <c r="G64" s="669">
        <f t="shared" si="1"/>
        <v>6.3920000000000003</v>
      </c>
      <c r="H64" s="669">
        <f t="shared" si="2"/>
        <v>6.3920000000000003</v>
      </c>
    </row>
    <row r="65" spans="1:8" x14ac:dyDescent="0.25">
      <c r="A65" s="41">
        <v>32244</v>
      </c>
      <c r="B65" s="44" t="s">
        <v>409</v>
      </c>
      <c r="C65" s="668">
        <v>0</v>
      </c>
      <c r="D65" s="668">
        <f>13272.28-D62-D63-D64</f>
        <v>572.28000000000065</v>
      </c>
      <c r="E65" s="668">
        <v>572.28000000000065</v>
      </c>
      <c r="F65" s="668">
        <f>13.26</f>
        <v>13.26</v>
      </c>
      <c r="G65" s="669">
        <f t="shared" si="1"/>
        <v>2.3170475990773718</v>
      </c>
      <c r="H65" s="669">
        <f t="shared" si="2"/>
        <v>2.3170475990773718</v>
      </c>
    </row>
    <row r="66" spans="1:8" x14ac:dyDescent="0.25">
      <c r="A66" s="39" t="s">
        <v>122</v>
      </c>
      <c r="B66" s="43" t="s">
        <v>123</v>
      </c>
      <c r="C66" s="671">
        <f>SUM(C67)</f>
        <v>4563.8999999999996</v>
      </c>
      <c r="D66" s="671">
        <f>SUM(D67)</f>
        <v>6636.14</v>
      </c>
      <c r="E66" s="671">
        <f>SUM(E67)</f>
        <v>6636.14</v>
      </c>
      <c r="F66" s="671">
        <f t="shared" ref="F66" si="18">SUM(F67)</f>
        <v>251.27999999999997</v>
      </c>
      <c r="G66" s="672">
        <f t="shared" si="1"/>
        <v>3.7865385600665444</v>
      </c>
      <c r="H66" s="672">
        <f t="shared" si="2"/>
        <v>3.7865385600665444</v>
      </c>
    </row>
    <row r="67" spans="1:8" x14ac:dyDescent="0.25">
      <c r="A67" s="41" t="s">
        <v>485</v>
      </c>
      <c r="B67" s="44" t="s">
        <v>123</v>
      </c>
      <c r="C67" s="668">
        <v>4563.8999999999996</v>
      </c>
      <c r="D67" s="668">
        <v>6636.14</v>
      </c>
      <c r="E67" s="668">
        <v>6636.14</v>
      </c>
      <c r="F67" s="668">
        <f>577.79-F463</f>
        <v>251.27999999999997</v>
      </c>
      <c r="G67" s="669">
        <f t="shared" si="1"/>
        <v>3.7865385600665444</v>
      </c>
      <c r="H67" s="669">
        <f t="shared" si="2"/>
        <v>3.7865385600665444</v>
      </c>
    </row>
    <row r="68" spans="1:8" x14ac:dyDescent="0.25">
      <c r="A68" s="39" t="s">
        <v>124</v>
      </c>
      <c r="B68" s="43" t="s">
        <v>125</v>
      </c>
      <c r="C68" s="671">
        <f>SUM(C69)</f>
        <v>3339.92</v>
      </c>
      <c r="D68" s="671">
        <f>SUM(D69)</f>
        <v>9290.6</v>
      </c>
      <c r="E68" s="671">
        <f>SUM(E69)</f>
        <v>9290.6</v>
      </c>
      <c r="F68" s="671">
        <f t="shared" ref="F68" si="19">SUM(F69)</f>
        <v>75</v>
      </c>
      <c r="G68" s="672">
        <f t="shared" si="1"/>
        <v>0.80726756076033834</v>
      </c>
      <c r="H68" s="672">
        <f t="shared" si="2"/>
        <v>0.80726756076033834</v>
      </c>
    </row>
    <row r="69" spans="1:8" x14ac:dyDescent="0.25">
      <c r="A69" s="41" t="s">
        <v>486</v>
      </c>
      <c r="B69" s="44" t="s">
        <v>125</v>
      </c>
      <c r="C69" s="668">
        <v>3339.92</v>
      </c>
      <c r="D69" s="668">
        <v>9290.6</v>
      </c>
      <c r="E69" s="668">
        <v>9290.6</v>
      </c>
      <c r="F69" s="668">
        <f>1306.75-F465</f>
        <v>75</v>
      </c>
      <c r="G69" s="669">
        <f t="shared" si="1"/>
        <v>0.80726756076033834</v>
      </c>
      <c r="H69" s="669">
        <f t="shared" si="2"/>
        <v>0.80726756076033834</v>
      </c>
    </row>
    <row r="70" spans="1:8" s="663" customFormat="1" x14ac:dyDescent="0.25">
      <c r="A70" s="39" t="s">
        <v>126</v>
      </c>
      <c r="B70" s="43" t="s">
        <v>127</v>
      </c>
      <c r="C70" s="665">
        <f>C71+C75+C79+C81+C86+C88+C90+C95+C97</f>
        <v>186036.66000000003</v>
      </c>
      <c r="D70" s="665">
        <f>D71+D75+D79+D81+D86+D88+D90+D95+D97</f>
        <v>238863.46000000002</v>
      </c>
      <c r="E70" s="665">
        <f>E71+E75+E79+E81+E86+E88+E90+E95+E97</f>
        <v>220863.46000000002</v>
      </c>
      <c r="F70" s="665">
        <f t="shared" ref="F70" si="20">F71+F75+F79+F81+F86+F88+F90+F95+F97</f>
        <v>157136.89999999997</v>
      </c>
      <c r="G70" s="666">
        <f t="shared" si="1"/>
        <v>65.785239818597603</v>
      </c>
      <c r="H70" s="666">
        <f t="shared" si="2"/>
        <v>71.146626064809425</v>
      </c>
    </row>
    <row r="71" spans="1:8" s="663" customFormat="1" x14ac:dyDescent="0.25">
      <c r="A71" s="39" t="s">
        <v>128</v>
      </c>
      <c r="B71" s="43" t="s">
        <v>129</v>
      </c>
      <c r="C71" s="665">
        <f>SUM(C72:C74)</f>
        <v>20247.75</v>
      </c>
      <c r="D71" s="665">
        <f>SUM(D72:D74)</f>
        <v>21235.65</v>
      </c>
      <c r="E71" s="665">
        <f>SUM(E72:E74)</f>
        <v>23235.65</v>
      </c>
      <c r="F71" s="665">
        <f t="shared" ref="F71" si="21">SUM(F72:F74)</f>
        <v>15128.510000000002</v>
      </c>
      <c r="G71" s="666">
        <f t="shared" ref="G71:G134" si="22">IFERROR(F71/D71*100,F71)</f>
        <v>71.241096928984987</v>
      </c>
      <c r="H71" s="666">
        <f t="shared" ref="H71:H134" si="23">IFERROR(F71/E71*100,F71)</f>
        <v>65.1090457981593</v>
      </c>
    </row>
    <row r="72" spans="1:8" s="663" customFormat="1" x14ac:dyDescent="0.25">
      <c r="A72" s="41" t="s">
        <v>487</v>
      </c>
      <c r="B72" s="44" t="s">
        <v>410</v>
      </c>
      <c r="C72" s="673">
        <v>19646.55</v>
      </c>
      <c r="D72" s="673">
        <v>19500</v>
      </c>
      <c r="E72" s="673">
        <v>19500</v>
      </c>
      <c r="F72" s="673">
        <f>18453.54-F418-F468</f>
        <v>14125.650000000001</v>
      </c>
      <c r="G72" s="675">
        <f t="shared" si="22"/>
        <v>72.439230769230775</v>
      </c>
      <c r="H72" s="675">
        <f t="shared" si="23"/>
        <v>72.439230769230775</v>
      </c>
    </row>
    <row r="73" spans="1:8" x14ac:dyDescent="0.25">
      <c r="A73" s="41" t="s">
        <v>488</v>
      </c>
      <c r="B73" s="44" t="s">
        <v>411</v>
      </c>
      <c r="C73" s="668">
        <v>594.20000000000005</v>
      </c>
      <c r="D73" s="668">
        <f>21235.65-D72</f>
        <v>1735.6500000000015</v>
      </c>
      <c r="E73" s="668">
        <v>1735.65</v>
      </c>
      <c r="F73" s="668">
        <f>665.36</f>
        <v>665.36</v>
      </c>
      <c r="G73" s="669">
        <f t="shared" si="22"/>
        <v>38.33491775415547</v>
      </c>
      <c r="H73" s="669">
        <f t="shared" si="23"/>
        <v>38.334917754155498</v>
      </c>
    </row>
    <row r="74" spans="1:8" x14ac:dyDescent="0.25">
      <c r="A74" s="41" t="s">
        <v>586</v>
      </c>
      <c r="B74" s="44" t="s">
        <v>587</v>
      </c>
      <c r="C74" s="668">
        <v>7</v>
      </c>
      <c r="D74" s="668"/>
      <c r="E74" s="668">
        <v>2000</v>
      </c>
      <c r="F74" s="668">
        <f>737.5-F749</f>
        <v>337.5</v>
      </c>
      <c r="G74" s="669">
        <f t="shared" si="22"/>
        <v>337.5</v>
      </c>
      <c r="H74" s="669">
        <f t="shared" si="23"/>
        <v>16.875</v>
      </c>
    </row>
    <row r="75" spans="1:8" x14ac:dyDescent="0.25">
      <c r="A75" s="39" t="s">
        <v>130</v>
      </c>
      <c r="B75" s="43" t="s">
        <v>131</v>
      </c>
      <c r="C75" s="671">
        <f>SUM(C76:C78)</f>
        <v>15181.16</v>
      </c>
      <c r="D75" s="671">
        <f>SUM(D76:D78)</f>
        <v>21053.72</v>
      </c>
      <c r="E75" s="671">
        <f>SUM(E76:E78)</f>
        <v>21053.72</v>
      </c>
      <c r="F75" s="671">
        <f t="shared" ref="F75" si="24">SUM(F76:F78)</f>
        <v>18025.050000000003</v>
      </c>
      <c r="G75" s="672">
        <f t="shared" si="22"/>
        <v>85.614561227184566</v>
      </c>
      <c r="H75" s="672">
        <f t="shared" si="23"/>
        <v>85.614561227184566</v>
      </c>
    </row>
    <row r="76" spans="1:8" x14ac:dyDescent="0.25">
      <c r="A76" s="41">
        <v>32321</v>
      </c>
      <c r="B76" s="44" t="s">
        <v>413</v>
      </c>
      <c r="C76" s="668">
        <v>5082.59</v>
      </c>
      <c r="D76" s="668">
        <v>10500</v>
      </c>
      <c r="E76" s="668">
        <v>10500</v>
      </c>
      <c r="F76" s="668">
        <f>22673.36-F238-F520-F789</f>
        <v>2032.3600000000006</v>
      </c>
      <c r="G76" s="669">
        <f t="shared" si="22"/>
        <v>19.35580952380953</v>
      </c>
      <c r="H76" s="669">
        <f t="shared" si="23"/>
        <v>19.35580952380953</v>
      </c>
    </row>
    <row r="77" spans="1:8" x14ac:dyDescent="0.25">
      <c r="A77" s="41">
        <v>32322</v>
      </c>
      <c r="B77" s="44" t="s">
        <v>414</v>
      </c>
      <c r="C77" s="668">
        <v>9438.4</v>
      </c>
      <c r="D77" s="668">
        <v>6500</v>
      </c>
      <c r="E77" s="668">
        <v>6500</v>
      </c>
      <c r="F77" s="668">
        <f>23426.79-F239-F470-F521</f>
        <v>12033.29</v>
      </c>
      <c r="G77" s="669">
        <f t="shared" si="22"/>
        <v>185.12753846153848</v>
      </c>
      <c r="H77" s="669">
        <f t="shared" si="23"/>
        <v>185.12753846153848</v>
      </c>
    </row>
    <row r="78" spans="1:8" s="676" customFormat="1" x14ac:dyDescent="0.25">
      <c r="A78" s="41">
        <v>32323</v>
      </c>
      <c r="B78" s="44" t="s">
        <v>412</v>
      </c>
      <c r="C78" s="668">
        <v>660.17</v>
      </c>
      <c r="D78" s="668">
        <f>21053.72-D76-D77</f>
        <v>4053.7200000000012</v>
      </c>
      <c r="E78" s="668">
        <v>4053.7200000000012</v>
      </c>
      <c r="F78" s="668">
        <f>18567.89-F240-F522</f>
        <v>3959.3999999999996</v>
      </c>
      <c r="G78" s="669">
        <f t="shared" si="22"/>
        <v>97.673248275657869</v>
      </c>
      <c r="H78" s="669">
        <f t="shared" si="23"/>
        <v>97.673248275657869</v>
      </c>
    </row>
    <row r="79" spans="1:8" s="676" customFormat="1" x14ac:dyDescent="0.25">
      <c r="A79" s="39" t="s">
        <v>132</v>
      </c>
      <c r="B79" s="43" t="s">
        <v>133</v>
      </c>
      <c r="C79" s="671">
        <f>SUM(C80)</f>
        <v>0</v>
      </c>
      <c r="D79" s="671">
        <f>SUM(D80)</f>
        <v>663.61</v>
      </c>
      <c r="E79" s="671">
        <f>SUM(E80)</f>
        <v>663.61</v>
      </c>
      <c r="F79" s="671">
        <f t="shared" ref="F79" si="25">SUM(F80)</f>
        <v>491.46</v>
      </c>
      <c r="G79" s="672">
        <f t="shared" si="22"/>
        <v>74.058558490679758</v>
      </c>
      <c r="H79" s="672">
        <f t="shared" si="23"/>
        <v>74.058558490679758</v>
      </c>
    </row>
    <row r="80" spans="1:8" x14ac:dyDescent="0.25">
      <c r="A80" s="41" t="s">
        <v>489</v>
      </c>
      <c r="B80" s="44" t="s">
        <v>133</v>
      </c>
      <c r="C80" s="668">
        <v>0</v>
      </c>
      <c r="D80" s="668">
        <v>663.61</v>
      </c>
      <c r="E80" s="668">
        <v>663.61</v>
      </c>
      <c r="F80" s="668">
        <f>989.37-F751</f>
        <v>491.46</v>
      </c>
      <c r="G80" s="669">
        <f t="shared" si="22"/>
        <v>74.058558490679758</v>
      </c>
      <c r="H80" s="669">
        <f t="shared" si="23"/>
        <v>74.058558490679758</v>
      </c>
    </row>
    <row r="81" spans="1:8" x14ac:dyDescent="0.25">
      <c r="A81" s="47" t="s">
        <v>134</v>
      </c>
      <c r="B81" s="48" t="s">
        <v>135</v>
      </c>
      <c r="C81" s="671">
        <f>SUM(C82:C85)</f>
        <v>23343.89</v>
      </c>
      <c r="D81" s="671">
        <f>SUM(D82:D85)</f>
        <v>19908.419999999998</v>
      </c>
      <c r="E81" s="671">
        <f>SUM(E82:E85)</f>
        <v>19908.419999999998</v>
      </c>
      <c r="F81" s="671">
        <f>SUM(F82:F85)</f>
        <v>18438.73</v>
      </c>
      <c r="G81" s="672">
        <f t="shared" si="22"/>
        <v>92.617746661965143</v>
      </c>
      <c r="H81" s="672">
        <f t="shared" si="23"/>
        <v>92.617746661965143</v>
      </c>
    </row>
    <row r="82" spans="1:8" x14ac:dyDescent="0.25">
      <c r="A82" s="41">
        <v>32341</v>
      </c>
      <c r="B82" s="44" t="s">
        <v>416</v>
      </c>
      <c r="C82" s="668">
        <v>5937.95</v>
      </c>
      <c r="D82" s="668">
        <v>7500</v>
      </c>
      <c r="E82" s="668">
        <v>7500</v>
      </c>
      <c r="F82" s="668">
        <f>6168.1-F472</f>
        <v>4749.5300000000007</v>
      </c>
      <c r="G82" s="669">
        <f t="shared" si="22"/>
        <v>63.327066666666674</v>
      </c>
      <c r="H82" s="669">
        <f t="shared" si="23"/>
        <v>63.327066666666674</v>
      </c>
    </row>
    <row r="83" spans="1:8" x14ac:dyDescent="0.25">
      <c r="A83" s="41">
        <v>32342</v>
      </c>
      <c r="B83" s="44" t="s">
        <v>417</v>
      </c>
      <c r="C83" s="668">
        <v>15622.79</v>
      </c>
      <c r="D83" s="668">
        <v>10500</v>
      </c>
      <c r="E83" s="668">
        <v>10500</v>
      </c>
      <c r="F83" s="668">
        <f>4583.12+13718.23-F473</f>
        <v>13380.749999999998</v>
      </c>
      <c r="G83" s="669">
        <f t="shared" si="22"/>
        <v>127.43571428571427</v>
      </c>
      <c r="H83" s="669">
        <f t="shared" si="23"/>
        <v>127.43571428571427</v>
      </c>
    </row>
    <row r="84" spans="1:8" x14ac:dyDescent="0.25">
      <c r="A84" s="41">
        <v>32343</v>
      </c>
      <c r="B84" s="44" t="s">
        <v>418</v>
      </c>
      <c r="C84" s="668">
        <v>1127.96</v>
      </c>
      <c r="D84" s="668">
        <v>1500</v>
      </c>
      <c r="E84" s="668">
        <v>1500</v>
      </c>
      <c r="F84" s="668">
        <f>0</f>
        <v>0</v>
      </c>
      <c r="G84" s="669">
        <f t="shared" si="22"/>
        <v>0</v>
      </c>
      <c r="H84" s="669">
        <f t="shared" si="23"/>
        <v>0</v>
      </c>
    </row>
    <row r="85" spans="1:8" x14ac:dyDescent="0.25">
      <c r="A85" s="49">
        <v>32349</v>
      </c>
      <c r="B85" s="50" t="s">
        <v>419</v>
      </c>
      <c r="C85" s="668">
        <v>655.19000000000005</v>
      </c>
      <c r="D85" s="668">
        <f>19908.42-D82-D83-D84</f>
        <v>408.41999999999825</v>
      </c>
      <c r="E85" s="668">
        <v>408.41999999999825</v>
      </c>
      <c r="F85" s="668">
        <f>308.45</f>
        <v>308.45</v>
      </c>
      <c r="G85" s="669">
        <f t="shared" si="22"/>
        <v>75.522746192645158</v>
      </c>
      <c r="H85" s="669">
        <f t="shared" si="23"/>
        <v>75.522746192645158</v>
      </c>
    </row>
    <row r="86" spans="1:8" x14ac:dyDescent="0.25">
      <c r="A86" s="47">
        <v>3235</v>
      </c>
      <c r="B86" s="48" t="s">
        <v>136</v>
      </c>
      <c r="C86" s="671">
        <f>SUM(C87)</f>
        <v>0</v>
      </c>
      <c r="D86" s="671">
        <f>SUM(D87)</f>
        <v>132.72</v>
      </c>
      <c r="E86" s="671">
        <f>SUM(E87)</f>
        <v>132.72</v>
      </c>
      <c r="F86" s="671">
        <f t="shared" ref="F86" si="26">SUM(F87)</f>
        <v>0</v>
      </c>
      <c r="G86" s="672">
        <f t="shared" si="22"/>
        <v>0</v>
      </c>
      <c r="H86" s="672">
        <f t="shared" si="23"/>
        <v>0</v>
      </c>
    </row>
    <row r="87" spans="1:8" s="676" customFormat="1" x14ac:dyDescent="0.25">
      <c r="A87" s="49">
        <v>32359</v>
      </c>
      <c r="B87" s="50" t="s">
        <v>136</v>
      </c>
      <c r="C87" s="668">
        <v>0</v>
      </c>
      <c r="D87" s="668">
        <v>132.72</v>
      </c>
      <c r="E87" s="668">
        <v>132.72</v>
      </c>
      <c r="F87" s="668">
        <v>0</v>
      </c>
      <c r="G87" s="669">
        <f t="shared" si="22"/>
        <v>0</v>
      </c>
      <c r="H87" s="669">
        <f t="shared" si="23"/>
        <v>0</v>
      </c>
    </row>
    <row r="88" spans="1:8" s="676" customFormat="1" x14ac:dyDescent="0.25">
      <c r="A88" s="47">
        <v>3236</v>
      </c>
      <c r="B88" s="48" t="s">
        <v>137</v>
      </c>
      <c r="C88" s="671">
        <f>SUM(C89)</f>
        <v>29827.13</v>
      </c>
      <c r="D88" s="671">
        <f>SUM(D89)</f>
        <v>22562.880000000001</v>
      </c>
      <c r="E88" s="671">
        <f>SUM(E89)</f>
        <v>2562.88</v>
      </c>
      <c r="F88" s="671">
        <f t="shared" ref="F88" si="27">SUM(F89)</f>
        <v>10487.53</v>
      </c>
      <c r="G88" s="672">
        <f t="shared" si="22"/>
        <v>46.481344580124521</v>
      </c>
      <c r="H88" s="672">
        <f t="shared" si="23"/>
        <v>409.20878074666007</v>
      </c>
    </row>
    <row r="89" spans="1:8" x14ac:dyDescent="0.25">
      <c r="A89" s="49">
        <v>32369</v>
      </c>
      <c r="B89" s="50" t="s">
        <v>137</v>
      </c>
      <c r="C89" s="668">
        <v>29827.13</v>
      </c>
      <c r="D89" s="668">
        <v>22562.880000000001</v>
      </c>
      <c r="E89" s="668">
        <v>2562.88</v>
      </c>
      <c r="F89" s="668">
        <f>24708.75+1055.46-F245-F420-F475</f>
        <v>10487.53</v>
      </c>
      <c r="G89" s="669">
        <f t="shared" si="22"/>
        <v>46.481344580124521</v>
      </c>
      <c r="H89" s="669">
        <f t="shared" si="23"/>
        <v>409.20878074666007</v>
      </c>
    </row>
    <row r="90" spans="1:8" x14ac:dyDescent="0.25">
      <c r="A90" s="47">
        <v>3237</v>
      </c>
      <c r="B90" s="48" t="s">
        <v>315</v>
      </c>
      <c r="C90" s="671">
        <f>SUM(C91:C94)</f>
        <v>86411.15</v>
      </c>
      <c r="D90" s="671">
        <f>SUM(D91:D94)</f>
        <v>110480.46</v>
      </c>
      <c r="E90" s="671">
        <f>SUM(E91:E94)</f>
        <v>110480.46</v>
      </c>
      <c r="F90" s="671">
        <f>SUM(F91:F94)</f>
        <v>84764.7</v>
      </c>
      <c r="G90" s="672">
        <f t="shared" si="22"/>
        <v>76.72370299689193</v>
      </c>
      <c r="H90" s="672">
        <f t="shared" si="23"/>
        <v>76.72370299689193</v>
      </c>
    </row>
    <row r="91" spans="1:8" x14ac:dyDescent="0.25">
      <c r="A91" s="49">
        <v>32372</v>
      </c>
      <c r="B91" s="50" t="s">
        <v>422</v>
      </c>
      <c r="C91" s="668">
        <v>62424.14</v>
      </c>
      <c r="D91" s="668">
        <v>94500</v>
      </c>
      <c r="E91" s="668">
        <v>94500</v>
      </c>
      <c r="F91" s="668">
        <f>45116.12+179.17+26833.74+5149.25+1258.42-F247-F608-F635-F666-F755</f>
        <v>71592.399999999994</v>
      </c>
      <c r="G91" s="669">
        <f t="shared" si="22"/>
        <v>75.759153439153437</v>
      </c>
      <c r="H91" s="669">
        <f t="shared" si="23"/>
        <v>75.759153439153437</v>
      </c>
    </row>
    <row r="92" spans="1:8" x14ac:dyDescent="0.25">
      <c r="A92" s="49">
        <v>32373</v>
      </c>
      <c r="B92" s="50" t="s">
        <v>423</v>
      </c>
      <c r="C92" s="668">
        <v>18195.37</v>
      </c>
      <c r="D92" s="668">
        <v>12000</v>
      </c>
      <c r="E92" s="668">
        <v>12000</v>
      </c>
      <c r="F92" s="668">
        <f>16250-F477</f>
        <v>11250</v>
      </c>
      <c r="G92" s="669">
        <f t="shared" si="22"/>
        <v>93.75</v>
      </c>
      <c r="H92" s="669">
        <f t="shared" si="23"/>
        <v>93.75</v>
      </c>
    </row>
    <row r="93" spans="1:8" x14ac:dyDescent="0.25">
      <c r="A93" s="49">
        <v>32375</v>
      </c>
      <c r="B93" s="50" t="s">
        <v>588</v>
      </c>
      <c r="C93" s="668">
        <v>1312.5</v>
      </c>
      <c r="D93" s="668">
        <v>0</v>
      </c>
      <c r="E93" s="668">
        <v>0</v>
      </c>
      <c r="F93" s="668">
        <v>750</v>
      </c>
      <c r="G93" s="669">
        <f t="shared" si="22"/>
        <v>750</v>
      </c>
      <c r="H93" s="669">
        <f t="shared" si="23"/>
        <v>750</v>
      </c>
    </row>
    <row r="94" spans="1:8" x14ac:dyDescent="0.25">
      <c r="A94" s="49">
        <v>32379</v>
      </c>
      <c r="B94" s="50" t="s">
        <v>490</v>
      </c>
      <c r="C94" s="668">
        <v>4479.1400000000003</v>
      </c>
      <c r="D94" s="668">
        <f>110480.46-D91-D92</f>
        <v>3980.4600000000064</v>
      </c>
      <c r="E94" s="668">
        <v>3980.46</v>
      </c>
      <c r="F94" s="668">
        <f>2266.05-F422-F478-F770</f>
        <v>1172.3000000000002</v>
      </c>
      <c r="G94" s="669">
        <f t="shared" si="22"/>
        <v>29.451369942167442</v>
      </c>
      <c r="H94" s="669">
        <f t="shared" si="23"/>
        <v>29.451369942167492</v>
      </c>
    </row>
    <row r="95" spans="1:8" s="663" customFormat="1" x14ac:dyDescent="0.25">
      <c r="A95" s="47" t="s">
        <v>139</v>
      </c>
      <c r="B95" s="48" t="s">
        <v>140</v>
      </c>
      <c r="C95" s="671">
        <f>SUM(C96)</f>
        <v>1750.47</v>
      </c>
      <c r="D95" s="671">
        <f>SUM(D96)</f>
        <v>18581.189999999999</v>
      </c>
      <c r="E95" s="671">
        <f>SUM(E96)</f>
        <v>18581.189999999999</v>
      </c>
      <c r="F95" s="671">
        <f t="shared" ref="F95" si="28">SUM(F96)</f>
        <v>7399.1500000000015</v>
      </c>
      <c r="G95" s="672">
        <f t="shared" si="22"/>
        <v>39.820646578609889</v>
      </c>
      <c r="H95" s="672">
        <f t="shared" si="23"/>
        <v>39.820646578609889</v>
      </c>
    </row>
    <row r="96" spans="1:8" x14ac:dyDescent="0.25">
      <c r="A96" s="49">
        <v>32389</v>
      </c>
      <c r="B96" s="50" t="s">
        <v>424</v>
      </c>
      <c r="C96" s="668">
        <v>1750.47</v>
      </c>
      <c r="D96" s="668">
        <v>18581.189999999999</v>
      </c>
      <c r="E96" s="668">
        <v>18581.189999999999</v>
      </c>
      <c r="F96" s="668">
        <f>47399.15-F526</f>
        <v>7399.1500000000015</v>
      </c>
      <c r="G96" s="669">
        <f t="shared" si="22"/>
        <v>39.820646578609889</v>
      </c>
      <c r="H96" s="669">
        <f t="shared" si="23"/>
        <v>39.820646578609889</v>
      </c>
    </row>
    <row r="97" spans="1:8" x14ac:dyDescent="0.25">
      <c r="A97" s="47" t="s">
        <v>141</v>
      </c>
      <c r="B97" s="48" t="s">
        <v>142</v>
      </c>
      <c r="C97" s="671">
        <f>SUM(C98:C100)</f>
        <v>9275.11</v>
      </c>
      <c r="D97" s="671">
        <f>SUM(D98:D100)</f>
        <v>24244.81</v>
      </c>
      <c r="E97" s="671">
        <f>SUM(E98:E100)</f>
        <v>24244.81</v>
      </c>
      <c r="F97" s="671">
        <f t="shared" ref="F97" si="29">SUM(F98:F100)</f>
        <v>2401.7699999999995</v>
      </c>
      <c r="G97" s="672">
        <f t="shared" si="22"/>
        <v>9.9063263436587015</v>
      </c>
      <c r="H97" s="672">
        <f t="shared" si="23"/>
        <v>9.9063263436587015</v>
      </c>
    </row>
    <row r="98" spans="1:8" x14ac:dyDescent="0.25">
      <c r="A98" s="49">
        <v>32394</v>
      </c>
      <c r="B98" s="50" t="s">
        <v>425</v>
      </c>
      <c r="C98" s="668">
        <v>2726.44</v>
      </c>
      <c r="D98" s="668">
        <v>4000</v>
      </c>
      <c r="E98" s="668">
        <v>4000</v>
      </c>
      <c r="F98" s="668">
        <f>2190.91-F330-F424</f>
        <v>2190.91</v>
      </c>
      <c r="G98" s="669">
        <f t="shared" si="22"/>
        <v>54.772749999999995</v>
      </c>
      <c r="H98" s="669">
        <f t="shared" si="23"/>
        <v>54.772749999999995</v>
      </c>
    </row>
    <row r="99" spans="1:8" x14ac:dyDescent="0.25">
      <c r="A99" s="49">
        <v>32395</v>
      </c>
      <c r="B99" s="50" t="s">
        <v>426</v>
      </c>
      <c r="C99" s="668">
        <v>5622</v>
      </c>
      <c r="D99" s="668">
        <v>6500</v>
      </c>
      <c r="E99" s="668">
        <v>6500</v>
      </c>
      <c r="F99" s="668">
        <f>0</f>
        <v>0</v>
      </c>
      <c r="G99" s="669">
        <f t="shared" si="22"/>
        <v>0</v>
      </c>
      <c r="H99" s="669">
        <f t="shared" si="23"/>
        <v>0</v>
      </c>
    </row>
    <row r="100" spans="1:8" x14ac:dyDescent="0.25">
      <c r="A100" s="49">
        <v>32399</v>
      </c>
      <c r="B100" s="50" t="s">
        <v>305</v>
      </c>
      <c r="C100" s="668">
        <v>926.67</v>
      </c>
      <c r="D100" s="668">
        <f>24244.81-D98-D99</f>
        <v>13744.810000000001</v>
      </c>
      <c r="E100" s="668">
        <v>13744.810000000001</v>
      </c>
      <c r="F100" s="668">
        <f>4177.23-F250-F425-F637-F668-F757-F772</f>
        <v>210.85999999999945</v>
      </c>
      <c r="G100" s="669">
        <f t="shared" si="22"/>
        <v>1.5341063281340332</v>
      </c>
      <c r="H100" s="669">
        <f t="shared" si="23"/>
        <v>1.5341063281340332</v>
      </c>
    </row>
    <row r="101" spans="1:8" x14ac:dyDescent="0.25">
      <c r="A101" s="39">
        <v>324</v>
      </c>
      <c r="B101" s="681" t="s">
        <v>143</v>
      </c>
      <c r="C101" s="665">
        <f t="shared" ref="C101:E102" si="30">SUM(C102)</f>
        <v>0</v>
      </c>
      <c r="D101" s="665">
        <f t="shared" si="30"/>
        <v>398.17</v>
      </c>
      <c r="E101" s="665">
        <f t="shared" si="30"/>
        <v>398.17</v>
      </c>
      <c r="F101" s="665">
        <f t="shared" ref="F101:F102" si="31">SUM(F102)</f>
        <v>0</v>
      </c>
      <c r="G101" s="666">
        <f t="shared" si="22"/>
        <v>0</v>
      </c>
      <c r="H101" s="666">
        <f t="shared" si="23"/>
        <v>0</v>
      </c>
    </row>
    <row r="102" spans="1:8" x14ac:dyDescent="0.25">
      <c r="A102" s="39">
        <v>3241</v>
      </c>
      <c r="B102" s="681" t="s">
        <v>143</v>
      </c>
      <c r="C102" s="665">
        <f t="shared" si="30"/>
        <v>0</v>
      </c>
      <c r="D102" s="665">
        <f t="shared" si="30"/>
        <v>398.17</v>
      </c>
      <c r="E102" s="665">
        <f t="shared" si="30"/>
        <v>398.17</v>
      </c>
      <c r="F102" s="665">
        <f t="shared" si="31"/>
        <v>0</v>
      </c>
      <c r="G102" s="666">
        <f t="shared" si="22"/>
        <v>0</v>
      </c>
      <c r="H102" s="666">
        <f t="shared" si="23"/>
        <v>0</v>
      </c>
    </row>
    <row r="103" spans="1:8" x14ac:dyDescent="0.25">
      <c r="A103" s="41" t="s">
        <v>491</v>
      </c>
      <c r="B103" s="682" t="s">
        <v>436</v>
      </c>
      <c r="C103" s="668">
        <v>0</v>
      </c>
      <c r="D103" s="668">
        <v>398.17</v>
      </c>
      <c r="E103" s="668">
        <v>398.17</v>
      </c>
      <c r="F103" s="668">
        <v>0</v>
      </c>
      <c r="G103" s="669">
        <f t="shared" si="22"/>
        <v>0</v>
      </c>
      <c r="H103" s="669">
        <f t="shared" si="23"/>
        <v>0</v>
      </c>
    </row>
    <row r="104" spans="1:8" x14ac:dyDescent="0.25">
      <c r="A104" s="39" t="s">
        <v>609</v>
      </c>
      <c r="B104" s="681" t="s">
        <v>127</v>
      </c>
      <c r="C104" s="671">
        <f>C105</f>
        <v>0</v>
      </c>
      <c r="D104" s="671">
        <f>D105</f>
        <v>0</v>
      </c>
      <c r="E104" s="671">
        <f>E105</f>
        <v>40000</v>
      </c>
      <c r="F104" s="671">
        <f>F105</f>
        <v>68966.73</v>
      </c>
      <c r="G104" s="672">
        <f t="shared" si="22"/>
        <v>68966.73</v>
      </c>
      <c r="H104" s="672">
        <f t="shared" si="23"/>
        <v>172.41682499999999</v>
      </c>
    </row>
    <row r="105" spans="1:8" x14ac:dyDescent="0.25">
      <c r="A105" s="39" t="s">
        <v>610</v>
      </c>
      <c r="B105" s="681" t="s">
        <v>142</v>
      </c>
      <c r="C105" s="671">
        <f>C106+C107</f>
        <v>0</v>
      </c>
      <c r="D105" s="671">
        <f>D106+D107</f>
        <v>0</v>
      </c>
      <c r="E105" s="671">
        <f>E106+E107</f>
        <v>40000</v>
      </c>
      <c r="F105" s="671">
        <f>F106+F107</f>
        <v>68966.73</v>
      </c>
      <c r="G105" s="672">
        <f t="shared" si="22"/>
        <v>68966.73</v>
      </c>
      <c r="H105" s="672">
        <f t="shared" si="23"/>
        <v>172.41682499999999</v>
      </c>
    </row>
    <row r="106" spans="1:8" x14ac:dyDescent="0.25">
      <c r="A106" s="41" t="s">
        <v>611</v>
      </c>
      <c r="B106" s="682" t="s">
        <v>613</v>
      </c>
      <c r="C106" s="668"/>
      <c r="D106" s="668"/>
      <c r="E106" s="668">
        <v>5000</v>
      </c>
      <c r="F106" s="764">
        <f>20945.17-F253-F428-F481</f>
        <v>5623.3999999999978</v>
      </c>
      <c r="G106" s="727">
        <f t="shared" si="22"/>
        <v>5623.3999999999978</v>
      </c>
      <c r="H106" s="727">
        <f t="shared" si="23"/>
        <v>112.46799999999995</v>
      </c>
    </row>
    <row r="107" spans="1:8" x14ac:dyDescent="0.25">
      <c r="A107" s="41" t="s">
        <v>612</v>
      </c>
      <c r="B107" s="682" t="s">
        <v>614</v>
      </c>
      <c r="C107" s="668"/>
      <c r="D107" s="668"/>
      <c r="E107" s="668">
        <v>35000</v>
      </c>
      <c r="F107" s="668">
        <f>218650.48-F254-F429-F442-F482-F583</f>
        <v>63343.33</v>
      </c>
      <c r="G107" s="669">
        <f t="shared" si="22"/>
        <v>63343.33</v>
      </c>
      <c r="H107" s="669">
        <f t="shared" si="23"/>
        <v>180.98094285714285</v>
      </c>
    </row>
    <row r="108" spans="1:8" x14ac:dyDescent="0.25">
      <c r="A108" s="47">
        <v>329</v>
      </c>
      <c r="B108" s="48" t="s">
        <v>144</v>
      </c>
      <c r="C108" s="665">
        <f>C109+C111+C115+C117+C119+C124+C126</f>
        <v>34956.639999999999</v>
      </c>
      <c r="D108" s="665">
        <f>D109+D111+D115+D117+D119+D124+D126</f>
        <v>51775.64</v>
      </c>
      <c r="E108" s="665">
        <f>E109+E111+E115+E117+E119+E124+E126</f>
        <v>51775.64</v>
      </c>
      <c r="F108" s="665">
        <f t="shared" ref="F108" si="32">F109+F111+F115+F117+F119+F124+F126</f>
        <v>34666.459999999992</v>
      </c>
      <c r="G108" s="666">
        <f t="shared" si="22"/>
        <v>66.955154972492835</v>
      </c>
      <c r="H108" s="666">
        <f t="shared" si="23"/>
        <v>66.955154972492835</v>
      </c>
    </row>
    <row r="109" spans="1:8" x14ac:dyDescent="0.25">
      <c r="A109" s="47" t="s">
        <v>145</v>
      </c>
      <c r="B109" s="48" t="s">
        <v>146</v>
      </c>
      <c r="C109" s="665">
        <f>SUM(C110)</f>
        <v>8798.64</v>
      </c>
      <c r="D109" s="665">
        <f>SUM(D110)</f>
        <v>11613.25</v>
      </c>
      <c r="E109" s="665">
        <f>SUM(E110)</f>
        <v>11613.25</v>
      </c>
      <c r="F109" s="665">
        <f t="shared" ref="F109" si="33">SUM(F110)</f>
        <v>8798.64</v>
      </c>
      <c r="G109" s="666">
        <f t="shared" si="22"/>
        <v>75.76380427528899</v>
      </c>
      <c r="H109" s="666">
        <f t="shared" si="23"/>
        <v>75.76380427528899</v>
      </c>
    </row>
    <row r="110" spans="1:8" x14ac:dyDescent="0.25">
      <c r="A110" s="49">
        <v>32911</v>
      </c>
      <c r="B110" s="50" t="s">
        <v>146</v>
      </c>
      <c r="C110" s="685">
        <v>8798.64</v>
      </c>
      <c r="D110" s="685">
        <v>11613.25</v>
      </c>
      <c r="E110" s="685">
        <v>11613.25</v>
      </c>
      <c r="F110" s="685">
        <f>8798.64</f>
        <v>8798.64</v>
      </c>
      <c r="G110" s="686">
        <f t="shared" si="22"/>
        <v>75.76380427528899</v>
      </c>
      <c r="H110" s="686">
        <f t="shared" si="23"/>
        <v>75.76380427528899</v>
      </c>
    </row>
    <row r="111" spans="1:8" x14ac:dyDescent="0.25">
      <c r="A111" s="47">
        <v>3292</v>
      </c>
      <c r="B111" s="48" t="s">
        <v>147</v>
      </c>
      <c r="C111" s="687">
        <f>SUM(C112:C114)</f>
        <v>14370.47</v>
      </c>
      <c r="D111" s="687">
        <f>SUM(D112:D114)</f>
        <v>21235.65</v>
      </c>
      <c r="E111" s="687">
        <f>SUM(E112:E114)</f>
        <v>21235.65</v>
      </c>
      <c r="F111" s="687">
        <f t="shared" ref="F111" si="34">SUM(F112:F114)</f>
        <v>17201.599999999999</v>
      </c>
      <c r="G111" s="688">
        <f t="shared" si="22"/>
        <v>81.00340700661387</v>
      </c>
      <c r="H111" s="688">
        <f t="shared" si="23"/>
        <v>81.00340700661387</v>
      </c>
    </row>
    <row r="112" spans="1:8" x14ac:dyDescent="0.25">
      <c r="A112" s="49">
        <v>32921</v>
      </c>
      <c r="B112" s="50" t="s">
        <v>430</v>
      </c>
      <c r="C112" s="685">
        <v>3470.45</v>
      </c>
      <c r="D112" s="685">
        <v>10250</v>
      </c>
      <c r="E112" s="685">
        <v>10250</v>
      </c>
      <c r="F112" s="685">
        <f>14729.36-F257-F387-F485</f>
        <v>8125.3500000000013</v>
      </c>
      <c r="G112" s="686">
        <f t="shared" si="22"/>
        <v>79.271707317073179</v>
      </c>
      <c r="H112" s="686">
        <f t="shared" si="23"/>
        <v>79.271707317073179</v>
      </c>
    </row>
    <row r="113" spans="1:8" x14ac:dyDescent="0.25">
      <c r="A113" s="49">
        <v>32922</v>
      </c>
      <c r="B113" s="50" t="s">
        <v>429</v>
      </c>
      <c r="C113" s="685">
        <v>2766.74</v>
      </c>
      <c r="D113" s="685">
        <v>2100</v>
      </c>
      <c r="E113" s="685">
        <v>2100</v>
      </c>
      <c r="F113" s="685">
        <f>2580.17</f>
        <v>2580.17</v>
      </c>
      <c r="G113" s="686">
        <f t="shared" si="22"/>
        <v>122.86523809523811</v>
      </c>
      <c r="H113" s="686">
        <f t="shared" si="23"/>
        <v>122.86523809523811</v>
      </c>
    </row>
    <row r="114" spans="1:8" x14ac:dyDescent="0.25">
      <c r="A114" s="49">
        <v>32923</v>
      </c>
      <c r="B114" s="50" t="s">
        <v>427</v>
      </c>
      <c r="C114" s="668">
        <v>8133.28</v>
      </c>
      <c r="D114" s="668">
        <f>21235.65-D112-D113</f>
        <v>8885.6500000000015</v>
      </c>
      <c r="E114" s="668">
        <v>8885.6500000000015</v>
      </c>
      <c r="F114" s="668">
        <f>7940.72-F432-F486</f>
        <v>6496.08</v>
      </c>
      <c r="G114" s="669">
        <f t="shared" si="22"/>
        <v>73.107538559362553</v>
      </c>
      <c r="H114" s="669">
        <f t="shared" si="23"/>
        <v>73.107538559362553</v>
      </c>
    </row>
    <row r="115" spans="1:8" x14ac:dyDescent="0.25">
      <c r="A115" s="47">
        <v>3293</v>
      </c>
      <c r="B115" s="48" t="s">
        <v>148</v>
      </c>
      <c r="C115" s="671">
        <f>SUM(C116)</f>
        <v>2857.91</v>
      </c>
      <c r="D115" s="671">
        <f>SUM(D116)</f>
        <v>3318.07</v>
      </c>
      <c r="E115" s="671">
        <f>SUM(E116)</f>
        <v>3318.07</v>
      </c>
      <c r="F115" s="671">
        <f t="shared" ref="F115" si="35">SUM(F116)</f>
        <v>1882.4999999999998</v>
      </c>
      <c r="G115" s="672">
        <f t="shared" si="22"/>
        <v>56.734788596985588</v>
      </c>
      <c r="H115" s="672">
        <f t="shared" si="23"/>
        <v>56.734788596985588</v>
      </c>
    </row>
    <row r="116" spans="1:8" x14ac:dyDescent="0.25">
      <c r="A116" s="49">
        <v>32931</v>
      </c>
      <c r="B116" s="50" t="s">
        <v>148</v>
      </c>
      <c r="C116" s="668">
        <v>2857.91</v>
      </c>
      <c r="D116" s="668">
        <v>3318.07</v>
      </c>
      <c r="E116" s="668">
        <v>3318.07</v>
      </c>
      <c r="F116" s="668">
        <f>3324.16-F340-F434-F708-F760</f>
        <v>1882.4999999999998</v>
      </c>
      <c r="G116" s="669">
        <f t="shared" si="22"/>
        <v>56.734788596985588</v>
      </c>
      <c r="H116" s="669">
        <f t="shared" si="23"/>
        <v>56.734788596985588</v>
      </c>
    </row>
    <row r="117" spans="1:8" x14ac:dyDescent="0.25">
      <c r="A117" s="47">
        <v>3294</v>
      </c>
      <c r="B117" s="48" t="s">
        <v>149</v>
      </c>
      <c r="C117" s="671">
        <f>SUM(C118)</f>
        <v>2587.89</v>
      </c>
      <c r="D117" s="671">
        <f>SUM(D118)</f>
        <v>1990.84</v>
      </c>
      <c r="E117" s="671">
        <f>SUM(E118)</f>
        <v>1990.84</v>
      </c>
      <c r="F117" s="671">
        <f t="shared" ref="F117" si="36">SUM(F118)</f>
        <v>1668.6000000000001</v>
      </c>
      <c r="G117" s="672">
        <f t="shared" si="22"/>
        <v>83.813867513210511</v>
      </c>
      <c r="H117" s="672">
        <f t="shared" si="23"/>
        <v>83.813867513210511</v>
      </c>
    </row>
    <row r="118" spans="1:8" x14ac:dyDescent="0.25">
      <c r="A118" s="49">
        <v>32941</v>
      </c>
      <c r="B118" s="50" t="s">
        <v>431</v>
      </c>
      <c r="C118" s="668">
        <v>2587.89</v>
      </c>
      <c r="D118" s="668">
        <v>1990.84</v>
      </c>
      <c r="E118" s="668">
        <v>1990.84</v>
      </c>
      <c r="F118" s="668">
        <f>2224.8-F488</f>
        <v>1668.6000000000001</v>
      </c>
      <c r="G118" s="669">
        <f t="shared" si="22"/>
        <v>83.813867513210511</v>
      </c>
      <c r="H118" s="669">
        <f t="shared" si="23"/>
        <v>83.813867513210511</v>
      </c>
    </row>
    <row r="119" spans="1:8" x14ac:dyDescent="0.25">
      <c r="A119" s="47">
        <v>3295</v>
      </c>
      <c r="B119" s="48" t="s">
        <v>150</v>
      </c>
      <c r="C119" s="671">
        <f>SUM(C120:C123)</f>
        <v>292.14</v>
      </c>
      <c r="D119" s="671">
        <f>SUM(D120:D123)</f>
        <v>2654.46</v>
      </c>
      <c r="E119" s="671">
        <f>SUM(E120:E123)</f>
        <v>2654.46</v>
      </c>
      <c r="F119" s="671">
        <f t="shared" ref="F119" si="37">SUM(F120:F123)</f>
        <v>339.42000000000007</v>
      </c>
      <c r="G119" s="672">
        <f t="shared" si="22"/>
        <v>12.78678149228092</v>
      </c>
      <c r="H119" s="672">
        <f t="shared" si="23"/>
        <v>12.78678149228092</v>
      </c>
    </row>
    <row r="120" spans="1:8" x14ac:dyDescent="0.25">
      <c r="A120" s="49">
        <v>32952</v>
      </c>
      <c r="B120" s="50" t="s">
        <v>433</v>
      </c>
      <c r="C120" s="668">
        <v>262.14</v>
      </c>
      <c r="D120" s="668">
        <v>800</v>
      </c>
      <c r="E120" s="668">
        <v>800</v>
      </c>
      <c r="F120" s="668">
        <f>0</f>
        <v>0</v>
      </c>
      <c r="G120" s="669">
        <f t="shared" si="22"/>
        <v>0</v>
      </c>
      <c r="H120" s="669">
        <f t="shared" si="23"/>
        <v>0</v>
      </c>
    </row>
    <row r="121" spans="1:8" x14ac:dyDescent="0.25">
      <c r="A121" s="49">
        <v>32953</v>
      </c>
      <c r="B121" s="50" t="s">
        <v>434</v>
      </c>
      <c r="C121" s="668">
        <v>30</v>
      </c>
      <c r="D121" s="668">
        <v>1450</v>
      </c>
      <c r="E121" s="668">
        <v>1450</v>
      </c>
      <c r="F121" s="668">
        <f>78.75</f>
        <v>78.75</v>
      </c>
      <c r="G121" s="669">
        <f t="shared" si="22"/>
        <v>5.4310344827586201</v>
      </c>
      <c r="H121" s="669">
        <f t="shared" si="23"/>
        <v>5.4310344827586201</v>
      </c>
    </row>
    <row r="122" spans="1:8" x14ac:dyDescent="0.25">
      <c r="A122" s="49">
        <v>32955</v>
      </c>
      <c r="B122" s="50" t="s">
        <v>629</v>
      </c>
      <c r="C122" s="668">
        <v>0</v>
      </c>
      <c r="D122" s="668">
        <v>0</v>
      </c>
      <c r="E122" s="668">
        <v>0</v>
      </c>
      <c r="F122" s="668">
        <v>207.58</v>
      </c>
      <c r="G122" s="669">
        <f t="shared" si="22"/>
        <v>207.58</v>
      </c>
      <c r="H122" s="669">
        <f t="shared" si="23"/>
        <v>207.58</v>
      </c>
    </row>
    <row r="123" spans="1:8" x14ac:dyDescent="0.25">
      <c r="A123" s="49">
        <v>32959</v>
      </c>
      <c r="B123" s="50" t="s">
        <v>432</v>
      </c>
      <c r="C123" s="668">
        <v>0</v>
      </c>
      <c r="D123" s="668">
        <f>2654.46-D120-D121</f>
        <v>404.46000000000004</v>
      </c>
      <c r="E123" s="668">
        <v>404.46000000000004</v>
      </c>
      <c r="F123" s="668">
        <f>53.09</f>
        <v>53.09</v>
      </c>
      <c r="G123" s="669">
        <f t="shared" si="22"/>
        <v>13.126143499975276</v>
      </c>
      <c r="H123" s="669">
        <f t="shared" si="23"/>
        <v>13.126143499975276</v>
      </c>
    </row>
    <row r="124" spans="1:8" x14ac:dyDescent="0.25">
      <c r="A124" s="47">
        <v>3296</v>
      </c>
      <c r="B124" s="48" t="s">
        <v>151</v>
      </c>
      <c r="C124" s="671">
        <f>SUM(C125)</f>
        <v>705</v>
      </c>
      <c r="D124" s="671">
        <f>SUM(D125)</f>
        <v>4990.84</v>
      </c>
      <c r="E124" s="671">
        <f>SUM(E125)</f>
        <v>4990.84</v>
      </c>
      <c r="F124" s="671">
        <f t="shared" ref="F124" si="38">SUM(F125)</f>
        <v>15</v>
      </c>
      <c r="G124" s="672">
        <f t="shared" si="22"/>
        <v>0.30055060871516615</v>
      </c>
      <c r="H124" s="672">
        <f t="shared" si="23"/>
        <v>0.30055060871516615</v>
      </c>
    </row>
    <row r="125" spans="1:8" x14ac:dyDescent="0.25">
      <c r="A125" s="49">
        <v>32961</v>
      </c>
      <c r="B125" s="50" t="s">
        <v>151</v>
      </c>
      <c r="C125" s="668">
        <v>705</v>
      </c>
      <c r="D125" s="668">
        <v>4990.84</v>
      </c>
      <c r="E125" s="668">
        <v>4990.84</v>
      </c>
      <c r="F125" s="668">
        <f>15</f>
        <v>15</v>
      </c>
      <c r="G125" s="669">
        <f t="shared" si="22"/>
        <v>0.30055060871516615</v>
      </c>
      <c r="H125" s="669">
        <f t="shared" si="23"/>
        <v>0.30055060871516615</v>
      </c>
    </row>
    <row r="126" spans="1:8" x14ac:dyDescent="0.25">
      <c r="A126" s="47" t="s">
        <v>152</v>
      </c>
      <c r="B126" s="48" t="s">
        <v>144</v>
      </c>
      <c r="C126" s="671">
        <f>SUM(C127:C128)</f>
        <v>5344.59</v>
      </c>
      <c r="D126" s="671">
        <f>SUM(D127:D128)</f>
        <v>5972.53</v>
      </c>
      <c r="E126" s="671">
        <f>SUM(E127:E128)</f>
        <v>5972.53</v>
      </c>
      <c r="F126" s="671">
        <f t="shared" ref="F126" si="39">SUM(F127:F128)</f>
        <v>4760.7000000000007</v>
      </c>
      <c r="G126" s="672">
        <f t="shared" si="22"/>
        <v>79.709938669207204</v>
      </c>
      <c r="H126" s="672">
        <f t="shared" si="23"/>
        <v>79.709938669207204</v>
      </c>
    </row>
    <row r="127" spans="1:8" x14ac:dyDescent="0.25">
      <c r="A127" s="49">
        <v>32991</v>
      </c>
      <c r="B127" s="50" t="s">
        <v>435</v>
      </c>
      <c r="C127" s="668">
        <v>50</v>
      </c>
      <c r="D127" s="668">
        <v>200</v>
      </c>
      <c r="E127" s="668">
        <v>200</v>
      </c>
      <c r="F127" s="668">
        <f>100</f>
        <v>100</v>
      </c>
      <c r="G127" s="669">
        <f t="shared" si="22"/>
        <v>50</v>
      </c>
      <c r="H127" s="669">
        <f t="shared" si="23"/>
        <v>50</v>
      </c>
    </row>
    <row r="128" spans="1:8" x14ac:dyDescent="0.25">
      <c r="A128" s="49">
        <v>32999</v>
      </c>
      <c r="B128" s="50" t="s">
        <v>144</v>
      </c>
      <c r="C128" s="668">
        <v>5294.59</v>
      </c>
      <c r="D128" s="668">
        <v>5772.53</v>
      </c>
      <c r="E128" s="668">
        <v>5772.53</v>
      </c>
      <c r="F128" s="668">
        <f>5551.93-F436-F490</f>
        <v>4660.7000000000007</v>
      </c>
      <c r="G128" s="669">
        <f t="shared" si="22"/>
        <v>80.739294555420258</v>
      </c>
      <c r="H128" s="669">
        <f t="shared" si="23"/>
        <v>80.739294555420258</v>
      </c>
    </row>
    <row r="129" spans="1:8" x14ac:dyDescent="0.25">
      <c r="A129" s="746">
        <v>34</v>
      </c>
      <c r="B129" s="747" t="s">
        <v>153</v>
      </c>
      <c r="C129" s="748">
        <f>C130</f>
        <v>5895.57</v>
      </c>
      <c r="D129" s="748">
        <f>D130</f>
        <v>9972.52</v>
      </c>
      <c r="E129" s="748">
        <f>E130</f>
        <v>9972.52</v>
      </c>
      <c r="F129" s="748">
        <f t="shared" ref="F129" si="40">F130</f>
        <v>6392.68</v>
      </c>
      <c r="G129" s="749">
        <f t="shared" si="22"/>
        <v>64.102954920120496</v>
      </c>
      <c r="H129" s="749">
        <f t="shared" si="23"/>
        <v>64.102954920120496</v>
      </c>
    </row>
    <row r="130" spans="1:8" s="663" customFormat="1" x14ac:dyDescent="0.25">
      <c r="A130" s="47">
        <v>343</v>
      </c>
      <c r="B130" s="48" t="s">
        <v>154</v>
      </c>
      <c r="C130" s="665">
        <f>C131+C133+C134+C139</f>
        <v>5895.57</v>
      </c>
      <c r="D130" s="665">
        <f>D131+D133+D134+D139</f>
        <v>9972.52</v>
      </c>
      <c r="E130" s="665">
        <f>E131+E133+E134+E139</f>
        <v>9972.52</v>
      </c>
      <c r="F130" s="665">
        <f>F131+F133+F134+F139</f>
        <v>6392.68</v>
      </c>
      <c r="G130" s="666">
        <f t="shared" si="22"/>
        <v>64.102954920120496</v>
      </c>
      <c r="H130" s="666">
        <f t="shared" si="23"/>
        <v>64.102954920120496</v>
      </c>
    </row>
    <row r="131" spans="1:8" s="663" customFormat="1" x14ac:dyDescent="0.25">
      <c r="A131" s="47" t="s">
        <v>155</v>
      </c>
      <c r="B131" s="48" t="s">
        <v>156</v>
      </c>
      <c r="C131" s="665">
        <f>SUM(C132)</f>
        <v>4177.24</v>
      </c>
      <c r="D131" s="665">
        <f>SUM(D132)</f>
        <v>5308.91</v>
      </c>
      <c r="E131" s="665">
        <f>SUM(E132)</f>
        <v>5308.91</v>
      </c>
      <c r="F131" s="665">
        <f t="shared" ref="F131" si="41">SUM(F132)</f>
        <v>5960.89</v>
      </c>
      <c r="G131" s="666">
        <f t="shared" si="22"/>
        <v>112.28086368011515</v>
      </c>
      <c r="H131" s="666">
        <f t="shared" si="23"/>
        <v>112.28086368011515</v>
      </c>
    </row>
    <row r="132" spans="1:8" x14ac:dyDescent="0.25">
      <c r="A132" s="49">
        <v>34312</v>
      </c>
      <c r="B132" s="50" t="s">
        <v>156</v>
      </c>
      <c r="C132" s="668">
        <v>4177.24</v>
      </c>
      <c r="D132" s="668">
        <v>5308.91</v>
      </c>
      <c r="E132" s="668">
        <v>5308.91</v>
      </c>
      <c r="F132" s="668">
        <f>5960.89</f>
        <v>5960.89</v>
      </c>
      <c r="G132" s="669">
        <f t="shared" si="22"/>
        <v>112.28086368011515</v>
      </c>
      <c r="H132" s="669">
        <f t="shared" si="23"/>
        <v>112.28086368011515</v>
      </c>
    </row>
    <row r="133" spans="1:8" hidden="1" x14ac:dyDescent="0.25">
      <c r="A133" s="47">
        <v>3432</v>
      </c>
      <c r="B133" s="48" t="s">
        <v>205</v>
      </c>
      <c r="C133" s="671"/>
      <c r="D133" s="671"/>
      <c r="E133" s="671"/>
      <c r="F133" s="671"/>
      <c r="G133" s="672">
        <f t="shared" si="22"/>
        <v>0</v>
      </c>
      <c r="H133" s="672">
        <f t="shared" si="23"/>
        <v>0</v>
      </c>
    </row>
    <row r="134" spans="1:8" x14ac:dyDescent="0.25">
      <c r="A134" s="47">
        <v>3433</v>
      </c>
      <c r="B134" s="48" t="s">
        <v>157</v>
      </c>
      <c r="C134" s="671">
        <f>SUM(C135:C138)</f>
        <v>1375.53</v>
      </c>
      <c r="D134" s="671">
        <f>SUM(D135:D138)</f>
        <v>4663.6099999999997</v>
      </c>
      <c r="E134" s="671">
        <f>SUM(E135:E138)</f>
        <v>4663.6099999999997</v>
      </c>
      <c r="F134" s="671">
        <f t="shared" ref="F134" si="42">SUM(F135:F138)</f>
        <v>431.79</v>
      </c>
      <c r="G134" s="672">
        <f t="shared" si="22"/>
        <v>9.2587073104311912</v>
      </c>
      <c r="H134" s="672">
        <f t="shared" si="23"/>
        <v>9.2587073104311912</v>
      </c>
    </row>
    <row r="135" spans="1:8" x14ac:dyDescent="0.25">
      <c r="A135" s="49">
        <v>34331</v>
      </c>
      <c r="B135" s="50" t="s">
        <v>438</v>
      </c>
      <c r="C135" s="668">
        <v>11.9</v>
      </c>
      <c r="D135" s="668">
        <v>100</v>
      </c>
      <c r="E135" s="668">
        <v>100</v>
      </c>
      <c r="F135" s="668">
        <f>0</f>
        <v>0</v>
      </c>
      <c r="G135" s="669">
        <f t="shared" ref="G135:G198" si="43">IFERROR(F135/D135*100,F135)</f>
        <v>0</v>
      </c>
      <c r="H135" s="669">
        <f t="shared" ref="H135:H198" si="44">IFERROR(F135/E135*100,F135)</f>
        <v>0</v>
      </c>
    </row>
    <row r="136" spans="1:8" x14ac:dyDescent="0.25">
      <c r="A136" s="49">
        <v>34332</v>
      </c>
      <c r="B136" s="50" t="s">
        <v>439</v>
      </c>
      <c r="C136" s="668">
        <v>315.98</v>
      </c>
      <c r="D136" s="668">
        <v>550</v>
      </c>
      <c r="E136" s="668">
        <v>550</v>
      </c>
      <c r="F136" s="668">
        <f>0</f>
        <v>0</v>
      </c>
      <c r="G136" s="669">
        <f t="shared" si="43"/>
        <v>0</v>
      </c>
      <c r="H136" s="669">
        <f t="shared" si="44"/>
        <v>0</v>
      </c>
    </row>
    <row r="137" spans="1:8" x14ac:dyDescent="0.25">
      <c r="A137" s="49">
        <v>34333</v>
      </c>
      <c r="B137" s="50" t="s">
        <v>440</v>
      </c>
      <c r="C137" s="668">
        <v>486.7</v>
      </c>
      <c r="D137" s="668">
        <v>75</v>
      </c>
      <c r="E137" s="668">
        <v>75</v>
      </c>
      <c r="F137" s="668">
        <v>431.79</v>
      </c>
      <c r="G137" s="669">
        <f t="shared" si="43"/>
        <v>575.72</v>
      </c>
      <c r="H137" s="669">
        <f t="shared" si="44"/>
        <v>575.72</v>
      </c>
    </row>
    <row r="138" spans="1:8" x14ac:dyDescent="0.25">
      <c r="A138" s="49">
        <v>34339</v>
      </c>
      <c r="B138" s="50" t="s">
        <v>441</v>
      </c>
      <c r="C138" s="668">
        <v>560.95000000000005</v>
      </c>
      <c r="D138" s="668">
        <f>4663.61-D135-D136-D137</f>
        <v>3938.6099999999997</v>
      </c>
      <c r="E138" s="668">
        <v>3938.6099999999997</v>
      </c>
      <c r="F138" s="668">
        <f>0</f>
        <v>0</v>
      </c>
      <c r="G138" s="669">
        <f t="shared" si="43"/>
        <v>0</v>
      </c>
      <c r="H138" s="669">
        <f t="shared" si="44"/>
        <v>0</v>
      </c>
    </row>
    <row r="139" spans="1:8" x14ac:dyDescent="0.25">
      <c r="A139" s="47">
        <v>3434</v>
      </c>
      <c r="B139" s="48" t="s">
        <v>291</v>
      </c>
      <c r="C139" s="671">
        <f>C140</f>
        <v>342.8</v>
      </c>
      <c r="D139" s="671">
        <f>D140</f>
        <v>0</v>
      </c>
      <c r="E139" s="671">
        <f>E140</f>
        <v>0</v>
      </c>
      <c r="F139" s="671">
        <f>F140</f>
        <v>0</v>
      </c>
      <c r="G139" s="672">
        <f t="shared" si="43"/>
        <v>0</v>
      </c>
      <c r="H139" s="672">
        <f t="shared" si="44"/>
        <v>0</v>
      </c>
    </row>
    <row r="140" spans="1:8" x14ac:dyDescent="0.25">
      <c r="A140" s="49">
        <v>34349</v>
      </c>
      <c r="B140" s="50" t="s">
        <v>291</v>
      </c>
      <c r="C140" s="668">
        <v>342.8</v>
      </c>
      <c r="D140" s="668"/>
      <c r="E140" s="668"/>
      <c r="F140" s="668">
        <f>0</f>
        <v>0</v>
      </c>
      <c r="G140" s="669">
        <f t="shared" si="43"/>
        <v>0</v>
      </c>
      <c r="H140" s="669">
        <f t="shared" si="44"/>
        <v>0</v>
      </c>
    </row>
    <row r="141" spans="1:8" s="663" customFormat="1" hidden="1" x14ac:dyDescent="0.25">
      <c r="A141" s="750">
        <v>36</v>
      </c>
      <c r="B141" s="756" t="s">
        <v>292</v>
      </c>
      <c r="C141" s="757">
        <f t="shared" ref="C141:F142" si="45">C142</f>
        <v>0</v>
      </c>
      <c r="D141" s="757">
        <f t="shared" si="45"/>
        <v>0</v>
      </c>
      <c r="E141" s="757">
        <f t="shared" si="45"/>
        <v>0</v>
      </c>
      <c r="F141" s="757">
        <f t="shared" si="45"/>
        <v>0</v>
      </c>
      <c r="G141" s="758">
        <f t="shared" si="43"/>
        <v>0</v>
      </c>
      <c r="H141" s="758">
        <f t="shared" si="44"/>
        <v>0</v>
      </c>
    </row>
    <row r="142" spans="1:8" s="663" customFormat="1" hidden="1" x14ac:dyDescent="0.25">
      <c r="A142" s="47">
        <v>369</v>
      </c>
      <c r="B142" s="48" t="s">
        <v>316</v>
      </c>
      <c r="C142" s="671">
        <f t="shared" si="45"/>
        <v>0</v>
      </c>
      <c r="D142" s="671">
        <f t="shared" si="45"/>
        <v>0</v>
      </c>
      <c r="E142" s="671">
        <f t="shared" si="45"/>
        <v>0</v>
      </c>
      <c r="F142" s="671">
        <f t="shared" si="45"/>
        <v>0</v>
      </c>
      <c r="G142" s="672">
        <f t="shared" si="43"/>
        <v>0</v>
      </c>
      <c r="H142" s="672">
        <f t="shared" si="44"/>
        <v>0</v>
      </c>
    </row>
    <row r="143" spans="1:8" hidden="1" x14ac:dyDescent="0.25">
      <c r="A143" s="49">
        <v>3692</v>
      </c>
      <c r="B143" s="50" t="s">
        <v>317</v>
      </c>
      <c r="C143" s="668"/>
      <c r="D143" s="668"/>
      <c r="E143" s="668"/>
      <c r="F143" s="668"/>
      <c r="G143" s="669">
        <f t="shared" si="43"/>
        <v>0</v>
      </c>
      <c r="H143" s="669">
        <f t="shared" si="44"/>
        <v>0</v>
      </c>
    </row>
    <row r="144" spans="1:8" s="663" customFormat="1" x14ac:dyDescent="0.25">
      <c r="A144" s="750">
        <v>37</v>
      </c>
      <c r="B144" s="756" t="s">
        <v>318</v>
      </c>
      <c r="C144" s="748">
        <f t="shared" ref="C144:F145" si="46">C145</f>
        <v>9591.11</v>
      </c>
      <c r="D144" s="748">
        <f t="shared" si="46"/>
        <v>2000</v>
      </c>
      <c r="E144" s="748">
        <f t="shared" si="46"/>
        <v>2000</v>
      </c>
      <c r="F144" s="748">
        <f t="shared" si="46"/>
        <v>0</v>
      </c>
      <c r="G144" s="749">
        <f t="shared" si="43"/>
        <v>0</v>
      </c>
      <c r="H144" s="749">
        <f t="shared" si="44"/>
        <v>0</v>
      </c>
    </row>
    <row r="145" spans="1:8" s="663" customFormat="1" x14ac:dyDescent="0.25">
      <c r="A145" s="47">
        <v>372</v>
      </c>
      <c r="B145" s="48" t="s">
        <v>163</v>
      </c>
      <c r="C145" s="665">
        <f>C146</f>
        <v>9591.11</v>
      </c>
      <c r="D145" s="665">
        <f>D146</f>
        <v>2000</v>
      </c>
      <c r="E145" s="665">
        <f>E146</f>
        <v>2000</v>
      </c>
      <c r="F145" s="665">
        <f t="shared" si="46"/>
        <v>0</v>
      </c>
      <c r="G145" s="666">
        <f t="shared" si="43"/>
        <v>0</v>
      </c>
      <c r="H145" s="666">
        <f t="shared" si="44"/>
        <v>0</v>
      </c>
    </row>
    <row r="146" spans="1:8" s="663" customFormat="1" x14ac:dyDescent="0.25">
      <c r="A146" s="47">
        <v>3721</v>
      </c>
      <c r="B146" s="48" t="s">
        <v>319</v>
      </c>
      <c r="C146" s="665">
        <f>SUM(C147:C148)</f>
        <v>9591.11</v>
      </c>
      <c r="D146" s="665">
        <f>SUM(D147:D148)</f>
        <v>2000</v>
      </c>
      <c r="E146" s="665">
        <f>SUM(E147:E148)</f>
        <v>2000</v>
      </c>
      <c r="F146" s="665">
        <f t="shared" ref="F146" si="47">SUM(F147:F148)</f>
        <v>0</v>
      </c>
      <c r="G146" s="666">
        <f t="shared" si="43"/>
        <v>0</v>
      </c>
      <c r="H146" s="666">
        <f t="shared" si="44"/>
        <v>0</v>
      </c>
    </row>
    <row r="147" spans="1:8" s="663" customFormat="1" x14ac:dyDescent="0.25">
      <c r="A147" s="49">
        <v>37212</v>
      </c>
      <c r="B147" s="50" t="s">
        <v>492</v>
      </c>
      <c r="C147" s="673">
        <v>0</v>
      </c>
      <c r="D147" s="673">
        <v>1500</v>
      </c>
      <c r="E147" s="673">
        <v>1500</v>
      </c>
      <c r="F147" s="673"/>
      <c r="G147" s="675">
        <f t="shared" si="43"/>
        <v>0</v>
      </c>
      <c r="H147" s="675">
        <f t="shared" si="44"/>
        <v>0</v>
      </c>
    </row>
    <row r="148" spans="1:8" x14ac:dyDescent="0.25">
      <c r="A148" s="49">
        <v>37215</v>
      </c>
      <c r="B148" s="50" t="s">
        <v>443</v>
      </c>
      <c r="C148" s="668">
        <v>9591.11</v>
      </c>
      <c r="D148" s="668">
        <v>500</v>
      </c>
      <c r="E148" s="668">
        <v>500</v>
      </c>
      <c r="F148" s="668">
        <f>0</f>
        <v>0</v>
      </c>
      <c r="G148" s="669">
        <f t="shared" si="43"/>
        <v>0</v>
      </c>
      <c r="H148" s="669">
        <f t="shared" si="44"/>
        <v>0</v>
      </c>
    </row>
    <row r="149" spans="1:8" x14ac:dyDescent="0.25">
      <c r="A149" s="746" t="s">
        <v>165</v>
      </c>
      <c r="B149" s="747" t="s">
        <v>98</v>
      </c>
      <c r="C149" s="748">
        <f>C150+C152+C158</f>
        <v>476.22</v>
      </c>
      <c r="D149" s="748">
        <f>D150+D152+D158</f>
        <v>500</v>
      </c>
      <c r="E149" s="748">
        <f>E150+E152+E158</f>
        <v>500</v>
      </c>
      <c r="F149" s="748">
        <f>F150+F152+F158</f>
        <v>850.30000000000007</v>
      </c>
      <c r="G149" s="749">
        <f t="shared" si="43"/>
        <v>170.06</v>
      </c>
      <c r="H149" s="749">
        <f t="shared" si="44"/>
        <v>170.06</v>
      </c>
    </row>
    <row r="150" spans="1:8" s="663" customFormat="1" hidden="1" x14ac:dyDescent="0.25">
      <c r="A150" s="39" t="s">
        <v>166</v>
      </c>
      <c r="B150" s="51" t="s">
        <v>167</v>
      </c>
      <c r="C150" s="665">
        <f>C151</f>
        <v>0</v>
      </c>
      <c r="D150" s="665">
        <f>D151</f>
        <v>0</v>
      </c>
      <c r="E150" s="665">
        <f>E151</f>
        <v>0</v>
      </c>
      <c r="F150" s="665">
        <f t="shared" ref="F150" si="48">F151</f>
        <v>0</v>
      </c>
      <c r="G150" s="666">
        <f t="shared" si="43"/>
        <v>0</v>
      </c>
      <c r="H150" s="666">
        <f t="shared" si="44"/>
        <v>0</v>
      </c>
    </row>
    <row r="151" spans="1:8" hidden="1" x14ac:dyDescent="0.25">
      <c r="A151" s="39" t="s">
        <v>168</v>
      </c>
      <c r="B151" s="51" t="s">
        <v>167</v>
      </c>
      <c r="C151" s="671"/>
      <c r="D151" s="671"/>
      <c r="E151" s="671"/>
      <c r="F151" s="671"/>
      <c r="G151" s="672">
        <f t="shared" si="43"/>
        <v>0</v>
      </c>
      <c r="H151" s="672">
        <f t="shared" si="44"/>
        <v>0</v>
      </c>
    </row>
    <row r="152" spans="1:8" x14ac:dyDescent="0.25">
      <c r="A152" s="47">
        <v>383</v>
      </c>
      <c r="B152" s="48" t="s">
        <v>169</v>
      </c>
      <c r="C152" s="665">
        <f>C153+C154+C155+C157</f>
        <v>476.22</v>
      </c>
      <c r="D152" s="665">
        <f>D153+D154+D155+D157</f>
        <v>500</v>
      </c>
      <c r="E152" s="665">
        <f>E153+E154+E155+E157</f>
        <v>500</v>
      </c>
      <c r="F152" s="665">
        <f>F153+F154+F155+F157</f>
        <v>694.07</v>
      </c>
      <c r="G152" s="666">
        <f t="shared" si="43"/>
        <v>138.81400000000002</v>
      </c>
      <c r="H152" s="666">
        <f t="shared" si="44"/>
        <v>138.81400000000002</v>
      </c>
    </row>
    <row r="153" spans="1:8" hidden="1" x14ac:dyDescent="0.25">
      <c r="A153" s="47">
        <v>3831</v>
      </c>
      <c r="B153" s="48" t="s">
        <v>320</v>
      </c>
      <c r="C153" s="671"/>
      <c r="D153" s="671"/>
      <c r="E153" s="671"/>
      <c r="F153" s="671"/>
      <c r="G153" s="672">
        <f t="shared" si="43"/>
        <v>0</v>
      </c>
      <c r="H153" s="672">
        <f t="shared" si="44"/>
        <v>0</v>
      </c>
    </row>
    <row r="154" spans="1:8" s="676" customFormat="1" hidden="1" x14ac:dyDescent="0.25">
      <c r="A154" s="47">
        <v>3833</v>
      </c>
      <c r="B154" s="48" t="s">
        <v>171</v>
      </c>
      <c r="C154" s="671"/>
      <c r="D154" s="671"/>
      <c r="E154" s="671"/>
      <c r="F154" s="671"/>
      <c r="G154" s="672">
        <f t="shared" si="43"/>
        <v>0</v>
      </c>
      <c r="H154" s="672">
        <f t="shared" si="44"/>
        <v>0</v>
      </c>
    </row>
    <row r="155" spans="1:8" s="676" customFormat="1" x14ac:dyDescent="0.25">
      <c r="A155" s="47">
        <v>3834</v>
      </c>
      <c r="B155" s="48" t="s">
        <v>172</v>
      </c>
      <c r="C155" s="671">
        <f t="shared" ref="C155:F155" si="49">SUM(C156)</f>
        <v>476.22</v>
      </c>
      <c r="D155" s="671">
        <f t="shared" si="49"/>
        <v>500</v>
      </c>
      <c r="E155" s="671">
        <f t="shared" si="49"/>
        <v>500</v>
      </c>
      <c r="F155" s="671">
        <f t="shared" si="49"/>
        <v>694.07</v>
      </c>
      <c r="G155" s="672">
        <f t="shared" si="43"/>
        <v>138.81400000000002</v>
      </c>
      <c r="H155" s="672">
        <f t="shared" si="44"/>
        <v>138.81400000000002</v>
      </c>
    </row>
    <row r="156" spans="1:8" s="676" customFormat="1" x14ac:dyDescent="0.25">
      <c r="A156" s="49">
        <v>38341</v>
      </c>
      <c r="B156" s="50" t="s">
        <v>172</v>
      </c>
      <c r="C156" s="668">
        <v>476.22</v>
      </c>
      <c r="D156" s="668">
        <v>500</v>
      </c>
      <c r="E156" s="668">
        <v>500</v>
      </c>
      <c r="F156" s="668">
        <v>694.07</v>
      </c>
      <c r="G156" s="669">
        <f t="shared" si="43"/>
        <v>138.81400000000002</v>
      </c>
      <c r="H156" s="669">
        <f t="shared" si="44"/>
        <v>138.81400000000002</v>
      </c>
    </row>
    <row r="157" spans="1:8" s="676" customFormat="1" hidden="1" x14ac:dyDescent="0.25">
      <c r="A157" s="47">
        <v>3835</v>
      </c>
      <c r="B157" s="48" t="s">
        <v>173</v>
      </c>
      <c r="C157" s="671"/>
      <c r="D157" s="671"/>
      <c r="E157" s="671"/>
      <c r="F157" s="671"/>
      <c r="G157" s="672">
        <f t="shared" si="43"/>
        <v>0</v>
      </c>
      <c r="H157" s="672">
        <f t="shared" si="44"/>
        <v>0</v>
      </c>
    </row>
    <row r="158" spans="1:8" s="676" customFormat="1" x14ac:dyDescent="0.25">
      <c r="A158" s="47">
        <v>385</v>
      </c>
      <c r="B158" s="48" t="s">
        <v>169</v>
      </c>
      <c r="C158" s="671">
        <f>C161</f>
        <v>0</v>
      </c>
      <c r="D158" s="671">
        <f>D161</f>
        <v>0</v>
      </c>
      <c r="E158" s="671">
        <f>E159+E161</f>
        <v>0</v>
      </c>
      <c r="F158" s="671">
        <f t="shared" ref="F158" si="50">F159+F161</f>
        <v>156.22999999999999</v>
      </c>
      <c r="G158" s="672">
        <f t="shared" si="43"/>
        <v>156.22999999999999</v>
      </c>
      <c r="H158" s="672">
        <f t="shared" si="44"/>
        <v>156.22999999999999</v>
      </c>
    </row>
    <row r="159" spans="1:8" s="676" customFormat="1" x14ac:dyDescent="0.25">
      <c r="A159" s="47">
        <v>3851</v>
      </c>
      <c r="B159" s="48" t="s">
        <v>615</v>
      </c>
      <c r="C159" s="671"/>
      <c r="D159" s="671"/>
      <c r="E159" s="671">
        <f>E160</f>
        <v>0</v>
      </c>
      <c r="F159" s="671">
        <f>F160</f>
        <v>156.22999999999999</v>
      </c>
      <c r="G159" s="672">
        <f t="shared" si="43"/>
        <v>156.22999999999999</v>
      </c>
      <c r="H159" s="672">
        <f t="shared" si="44"/>
        <v>156.22999999999999</v>
      </c>
    </row>
    <row r="160" spans="1:8" s="676" customFormat="1" x14ac:dyDescent="0.25">
      <c r="A160" s="49">
        <v>38511</v>
      </c>
      <c r="B160" s="50" t="s">
        <v>616</v>
      </c>
      <c r="C160" s="668"/>
      <c r="D160" s="668"/>
      <c r="E160" s="668"/>
      <c r="F160" s="668">
        <v>156.22999999999999</v>
      </c>
      <c r="G160" s="669">
        <f t="shared" si="43"/>
        <v>156.22999999999999</v>
      </c>
      <c r="H160" s="669">
        <f t="shared" si="44"/>
        <v>156.22999999999999</v>
      </c>
    </row>
    <row r="161" spans="1:8" s="676" customFormat="1" hidden="1" x14ac:dyDescent="0.25">
      <c r="A161" s="47">
        <v>3859</v>
      </c>
      <c r="B161" s="48" t="s">
        <v>298</v>
      </c>
      <c r="C161" s="671">
        <f t="shared" ref="C161:F161" si="51">C162</f>
        <v>0</v>
      </c>
      <c r="D161" s="671">
        <f t="shared" si="51"/>
        <v>0</v>
      </c>
      <c r="E161" s="671">
        <f t="shared" si="51"/>
        <v>0</v>
      </c>
      <c r="F161" s="671">
        <f t="shared" si="51"/>
        <v>0</v>
      </c>
      <c r="G161" s="672">
        <f t="shared" si="43"/>
        <v>0</v>
      </c>
      <c r="H161" s="672">
        <f t="shared" si="44"/>
        <v>0</v>
      </c>
    </row>
    <row r="162" spans="1:8" s="676" customFormat="1" hidden="1" x14ac:dyDescent="0.25">
      <c r="A162" s="49">
        <v>38591</v>
      </c>
      <c r="B162" s="50" t="s">
        <v>298</v>
      </c>
      <c r="C162" s="668"/>
      <c r="D162" s="668"/>
      <c r="E162" s="668"/>
      <c r="F162" s="668">
        <v>0</v>
      </c>
      <c r="G162" s="669">
        <f t="shared" si="43"/>
        <v>0</v>
      </c>
      <c r="H162" s="669">
        <f t="shared" si="44"/>
        <v>0</v>
      </c>
    </row>
    <row r="163" spans="1:8" s="663" customFormat="1" x14ac:dyDescent="0.25">
      <c r="A163" s="734">
        <v>4</v>
      </c>
      <c r="B163" s="735" t="s">
        <v>174</v>
      </c>
      <c r="C163" s="736">
        <f>C164+C170+C192</f>
        <v>20996.03</v>
      </c>
      <c r="D163" s="736">
        <f>D164+D170+D192</f>
        <v>125512.17000000001</v>
      </c>
      <c r="E163" s="736">
        <f>E164+E170+E192</f>
        <v>125512.17000000001</v>
      </c>
      <c r="F163" s="736">
        <f>F164+F170+F192</f>
        <v>4072.4100000000035</v>
      </c>
      <c r="G163" s="737">
        <f t="shared" si="43"/>
        <v>3.2446335682029903</v>
      </c>
      <c r="H163" s="737">
        <f t="shared" si="44"/>
        <v>3.2446335682029903</v>
      </c>
    </row>
    <row r="164" spans="1:8" hidden="1" x14ac:dyDescent="0.25">
      <c r="A164" s="746" t="s">
        <v>175</v>
      </c>
      <c r="B164" s="752" t="s">
        <v>176</v>
      </c>
      <c r="C164" s="748">
        <f>C165+C168</f>
        <v>0</v>
      </c>
      <c r="D164" s="748">
        <f>D165+D168</f>
        <v>0</v>
      </c>
      <c r="E164" s="748">
        <f>E165+E168</f>
        <v>0</v>
      </c>
      <c r="F164" s="748">
        <f t="shared" ref="F164" si="52">F165+F168</f>
        <v>0</v>
      </c>
      <c r="G164" s="749">
        <f t="shared" si="43"/>
        <v>0</v>
      </c>
      <c r="H164" s="749">
        <f t="shared" si="44"/>
        <v>0</v>
      </c>
    </row>
    <row r="165" spans="1:8" hidden="1" x14ac:dyDescent="0.25">
      <c r="A165" s="39" t="s">
        <v>177</v>
      </c>
      <c r="B165" s="689" t="s">
        <v>178</v>
      </c>
      <c r="C165" s="665">
        <f>C166</f>
        <v>0</v>
      </c>
      <c r="D165" s="665">
        <f>D166</f>
        <v>0</v>
      </c>
      <c r="E165" s="665">
        <f>E166</f>
        <v>0</v>
      </c>
      <c r="F165" s="665">
        <f t="shared" ref="F165" si="53">F167</f>
        <v>0</v>
      </c>
      <c r="G165" s="666">
        <f t="shared" si="43"/>
        <v>0</v>
      </c>
      <c r="H165" s="666">
        <f t="shared" si="44"/>
        <v>0</v>
      </c>
    </row>
    <row r="166" spans="1:8" hidden="1" x14ac:dyDescent="0.25">
      <c r="A166" s="39" t="s">
        <v>179</v>
      </c>
      <c r="B166" s="689" t="s">
        <v>180</v>
      </c>
      <c r="C166" s="665">
        <f>SUM(C167)</f>
        <v>0</v>
      </c>
      <c r="D166" s="665">
        <f>SUM(D167)</f>
        <v>0</v>
      </c>
      <c r="E166" s="665">
        <f>SUM(E167)</f>
        <v>0</v>
      </c>
      <c r="F166" s="665">
        <f t="shared" ref="F166" si="54">SUM(F167)</f>
        <v>0</v>
      </c>
      <c r="G166" s="666">
        <f t="shared" si="43"/>
        <v>0</v>
      </c>
      <c r="H166" s="666">
        <f t="shared" si="44"/>
        <v>0</v>
      </c>
    </row>
    <row r="167" spans="1:8" hidden="1" x14ac:dyDescent="0.25">
      <c r="A167" s="41" t="s">
        <v>493</v>
      </c>
      <c r="B167" s="690" t="s">
        <v>180</v>
      </c>
      <c r="C167" s="673"/>
      <c r="D167" s="673"/>
      <c r="E167" s="673"/>
      <c r="F167" s="673"/>
      <c r="G167" s="675">
        <f t="shared" si="43"/>
        <v>0</v>
      </c>
      <c r="H167" s="675">
        <f t="shared" si="44"/>
        <v>0</v>
      </c>
    </row>
    <row r="168" spans="1:8" s="663" customFormat="1" hidden="1" x14ac:dyDescent="0.25">
      <c r="A168" s="47">
        <v>412</v>
      </c>
      <c r="B168" s="51" t="s">
        <v>181</v>
      </c>
      <c r="C168" s="52">
        <f>C169</f>
        <v>0</v>
      </c>
      <c r="D168" s="52">
        <f>D169</f>
        <v>0</v>
      </c>
      <c r="E168" s="52">
        <f>E169</f>
        <v>0</v>
      </c>
      <c r="F168" s="52">
        <f t="shared" ref="F168" si="55">F169</f>
        <v>0</v>
      </c>
      <c r="G168" s="591">
        <f t="shared" si="43"/>
        <v>0</v>
      </c>
      <c r="H168" s="591">
        <f t="shared" si="44"/>
        <v>0</v>
      </c>
    </row>
    <row r="169" spans="1:8" s="691" customFormat="1" hidden="1" x14ac:dyDescent="0.25">
      <c r="A169" s="47">
        <v>4123</v>
      </c>
      <c r="B169" s="51" t="s">
        <v>182</v>
      </c>
      <c r="C169" s="668">
        <v>0</v>
      </c>
      <c r="D169" s="668">
        <v>0</v>
      </c>
      <c r="E169" s="668">
        <v>0</v>
      </c>
      <c r="F169" s="668">
        <v>0</v>
      </c>
      <c r="G169" s="669">
        <f t="shared" si="43"/>
        <v>0</v>
      </c>
      <c r="H169" s="669">
        <f t="shared" si="44"/>
        <v>0</v>
      </c>
    </row>
    <row r="170" spans="1:8" s="652" customFormat="1" x14ac:dyDescent="0.25">
      <c r="A170" s="746">
        <v>42</v>
      </c>
      <c r="B170" s="747" t="s">
        <v>183</v>
      </c>
      <c r="C170" s="748">
        <f>C171+C187+C190</f>
        <v>7392.89</v>
      </c>
      <c r="D170" s="748">
        <f>D171+D187+D190</f>
        <v>102328.35</v>
      </c>
      <c r="E170" s="748">
        <f>E171+E187+E190</f>
        <v>102328.35</v>
      </c>
      <c r="F170" s="748">
        <f t="shared" ref="F170" si="56">F171+F187+F190</f>
        <v>3389.820000000007</v>
      </c>
      <c r="G170" s="749">
        <f t="shared" si="43"/>
        <v>3.3126890055395273</v>
      </c>
      <c r="H170" s="749">
        <f t="shared" si="44"/>
        <v>3.3126890055395273</v>
      </c>
    </row>
    <row r="171" spans="1:8" s="663" customFormat="1" x14ac:dyDescent="0.25">
      <c r="A171" s="39">
        <v>422</v>
      </c>
      <c r="B171" s="40" t="s">
        <v>184</v>
      </c>
      <c r="C171" s="665">
        <f>C172+C176+C177+C180+C183+C185</f>
        <v>7392.89</v>
      </c>
      <c r="D171" s="665">
        <f>D172+D176+D177+D180+D183+D185</f>
        <v>95606.07</v>
      </c>
      <c r="E171" s="665">
        <f>E172+E176+E177+E180+E183+E185</f>
        <v>95606.07</v>
      </c>
      <c r="F171" s="665">
        <f t="shared" ref="F171" si="57">F172+F176+F177+F180+F183+F185</f>
        <v>3389.820000000007</v>
      </c>
      <c r="G171" s="666">
        <f t="shared" si="43"/>
        <v>3.5456116959937867</v>
      </c>
      <c r="H171" s="666">
        <f t="shared" si="44"/>
        <v>3.5456116959937867</v>
      </c>
    </row>
    <row r="172" spans="1:8" s="663" customFormat="1" x14ac:dyDescent="0.25">
      <c r="A172" s="39" t="s">
        <v>185</v>
      </c>
      <c r="B172" s="40" t="s">
        <v>186</v>
      </c>
      <c r="C172" s="665">
        <f>SUM(C173:C175)</f>
        <v>0</v>
      </c>
      <c r="D172" s="665">
        <f>SUM(D173:D175)</f>
        <v>13272.28</v>
      </c>
      <c r="E172" s="665">
        <f>SUM(E173:E175)</f>
        <v>13272.28</v>
      </c>
      <c r="F172" s="665">
        <f t="shared" ref="F172" si="58">SUM(F173:F175)</f>
        <v>399.98</v>
      </c>
      <c r="G172" s="666">
        <f t="shared" si="43"/>
        <v>3.0136495010653781</v>
      </c>
      <c r="H172" s="666">
        <f t="shared" si="44"/>
        <v>3.0136495010653781</v>
      </c>
    </row>
    <row r="173" spans="1:8" s="663" customFormat="1" x14ac:dyDescent="0.25">
      <c r="A173" s="41">
        <v>42211</v>
      </c>
      <c r="B173" s="42" t="s">
        <v>444</v>
      </c>
      <c r="C173" s="673">
        <v>0</v>
      </c>
      <c r="D173" s="673">
        <v>1250</v>
      </c>
      <c r="E173" s="673">
        <v>1250</v>
      </c>
      <c r="F173" s="673">
        <f>240</f>
        <v>240</v>
      </c>
      <c r="G173" s="675">
        <f t="shared" si="43"/>
        <v>19.2</v>
      </c>
      <c r="H173" s="675">
        <f t="shared" si="44"/>
        <v>19.2</v>
      </c>
    </row>
    <row r="174" spans="1:8" s="663" customFormat="1" x14ac:dyDescent="0.25">
      <c r="A174" s="41">
        <v>42212</v>
      </c>
      <c r="B174" s="42" t="s">
        <v>445</v>
      </c>
      <c r="C174" s="673">
        <v>0</v>
      </c>
      <c r="D174" s="673">
        <v>10672.28</v>
      </c>
      <c r="E174" s="673">
        <v>10672.28</v>
      </c>
      <c r="F174" s="673">
        <f>474.98-F532</f>
        <v>159.98000000000002</v>
      </c>
      <c r="G174" s="675">
        <f t="shared" si="43"/>
        <v>1.4990236388100762</v>
      </c>
      <c r="H174" s="675">
        <f t="shared" si="44"/>
        <v>1.4990236388100762</v>
      </c>
    </row>
    <row r="175" spans="1:8" x14ac:dyDescent="0.25">
      <c r="A175" s="41">
        <v>42219</v>
      </c>
      <c r="B175" s="42" t="s">
        <v>446</v>
      </c>
      <c r="C175" s="668">
        <v>0</v>
      </c>
      <c r="D175" s="668">
        <v>1350</v>
      </c>
      <c r="E175" s="668">
        <v>1350</v>
      </c>
      <c r="F175" s="668">
        <v>0</v>
      </c>
      <c r="G175" s="669">
        <f t="shared" si="43"/>
        <v>0</v>
      </c>
      <c r="H175" s="669">
        <f t="shared" si="44"/>
        <v>0</v>
      </c>
    </row>
    <row r="176" spans="1:8" hidden="1" x14ac:dyDescent="0.25">
      <c r="A176" s="39" t="s">
        <v>187</v>
      </c>
      <c r="B176" s="40" t="s">
        <v>188</v>
      </c>
      <c r="C176" s="671"/>
      <c r="D176" s="671"/>
      <c r="E176" s="671"/>
      <c r="F176" s="671"/>
      <c r="G176" s="672">
        <f t="shared" si="43"/>
        <v>0</v>
      </c>
      <c r="H176" s="672">
        <f t="shared" si="44"/>
        <v>0</v>
      </c>
    </row>
    <row r="177" spans="1:8" x14ac:dyDescent="0.25">
      <c r="A177" s="47">
        <v>4223</v>
      </c>
      <c r="B177" s="51" t="s">
        <v>189</v>
      </c>
      <c r="C177" s="671">
        <f>SUM(C178:C179)</f>
        <v>0</v>
      </c>
      <c r="D177" s="671">
        <f>SUM(D178:D179)</f>
        <v>13272.28</v>
      </c>
      <c r="E177" s="671">
        <f>SUM(E178:E179)</f>
        <v>13272.28</v>
      </c>
      <c r="F177" s="671">
        <f>SUM(F178:F179)</f>
        <v>0</v>
      </c>
      <c r="G177" s="672">
        <f t="shared" si="43"/>
        <v>0</v>
      </c>
      <c r="H177" s="672">
        <f t="shared" si="44"/>
        <v>0</v>
      </c>
    </row>
    <row r="178" spans="1:8" x14ac:dyDescent="0.25">
      <c r="A178" s="41">
        <v>42231</v>
      </c>
      <c r="B178" s="42" t="s">
        <v>448</v>
      </c>
      <c r="C178" s="668">
        <v>0</v>
      </c>
      <c r="D178" s="668">
        <v>12922.28</v>
      </c>
      <c r="E178" s="668">
        <v>12922.28</v>
      </c>
      <c r="F178" s="668">
        <f>2816.73-F534</f>
        <v>0</v>
      </c>
      <c r="G178" s="669">
        <f t="shared" si="43"/>
        <v>0</v>
      </c>
      <c r="H178" s="669">
        <f t="shared" si="44"/>
        <v>0</v>
      </c>
    </row>
    <row r="179" spans="1:8" x14ac:dyDescent="0.25">
      <c r="A179" s="49">
        <v>42232</v>
      </c>
      <c r="B179" s="56" t="s">
        <v>447</v>
      </c>
      <c r="C179" s="668">
        <v>0</v>
      </c>
      <c r="D179" s="668">
        <v>350</v>
      </c>
      <c r="E179" s="668">
        <v>350</v>
      </c>
      <c r="F179" s="668">
        <v>0</v>
      </c>
      <c r="G179" s="669">
        <f t="shared" si="43"/>
        <v>0</v>
      </c>
      <c r="H179" s="669">
        <f t="shared" si="44"/>
        <v>0</v>
      </c>
    </row>
    <row r="180" spans="1:8" x14ac:dyDescent="0.25">
      <c r="A180" s="47">
        <v>4224</v>
      </c>
      <c r="B180" s="51" t="s">
        <v>190</v>
      </c>
      <c r="C180" s="671">
        <f>SUM(C181:C182)</f>
        <v>0</v>
      </c>
      <c r="D180" s="671">
        <f>SUM(D181:D182)</f>
        <v>59725.26</v>
      </c>
      <c r="E180" s="671">
        <f>SUM(E181:E182)</f>
        <v>59725.26</v>
      </c>
      <c r="F180" s="671">
        <f t="shared" ref="F180" si="59">SUM(F181:F182)</f>
        <v>1404.320000000007</v>
      </c>
      <c r="G180" s="672">
        <f t="shared" si="43"/>
        <v>2.3512999357390942</v>
      </c>
      <c r="H180" s="672">
        <f t="shared" si="44"/>
        <v>2.3512999357390942</v>
      </c>
    </row>
    <row r="181" spans="1:8" x14ac:dyDescent="0.25">
      <c r="A181" s="49">
        <v>42241</v>
      </c>
      <c r="B181" s="56" t="s">
        <v>449</v>
      </c>
      <c r="C181" s="668"/>
      <c r="D181" s="668">
        <v>57475.26</v>
      </c>
      <c r="E181" s="668">
        <v>57475.26</v>
      </c>
      <c r="F181" s="668">
        <f>147422.43-F396-F536-F777</f>
        <v>1404.320000000007</v>
      </c>
      <c r="G181" s="669">
        <f t="shared" si="43"/>
        <v>2.443346928748138</v>
      </c>
      <c r="H181" s="669">
        <f t="shared" si="44"/>
        <v>2.443346928748138</v>
      </c>
    </row>
    <row r="182" spans="1:8" x14ac:dyDescent="0.25">
      <c r="A182" s="49">
        <v>42242</v>
      </c>
      <c r="B182" s="56" t="s">
        <v>450</v>
      </c>
      <c r="C182" s="668">
        <v>0</v>
      </c>
      <c r="D182" s="668">
        <v>2250</v>
      </c>
      <c r="E182" s="668">
        <v>2250</v>
      </c>
      <c r="F182" s="668">
        <v>0</v>
      </c>
      <c r="G182" s="669">
        <f t="shared" si="43"/>
        <v>0</v>
      </c>
      <c r="H182" s="669">
        <f t="shared" si="44"/>
        <v>0</v>
      </c>
    </row>
    <row r="183" spans="1:8" x14ac:dyDescent="0.25">
      <c r="A183" s="47">
        <v>4225</v>
      </c>
      <c r="B183" s="51" t="s">
        <v>191</v>
      </c>
      <c r="C183" s="671">
        <f>SUM(C184)</f>
        <v>0</v>
      </c>
      <c r="D183" s="671">
        <f>SUM(D184)</f>
        <v>5354.57</v>
      </c>
      <c r="E183" s="671">
        <f>SUM(E184)</f>
        <v>5354.57</v>
      </c>
      <c r="F183" s="671">
        <f t="shared" ref="F183" si="60">SUM(F184)</f>
        <v>450</v>
      </c>
      <c r="G183" s="672">
        <f t="shared" si="43"/>
        <v>8.4040361784419666</v>
      </c>
      <c r="H183" s="672">
        <f t="shared" si="44"/>
        <v>8.4040361784419666</v>
      </c>
    </row>
    <row r="184" spans="1:8" s="691" customFormat="1" x14ac:dyDescent="0.25">
      <c r="A184" s="49">
        <v>42259</v>
      </c>
      <c r="B184" s="56" t="s">
        <v>619</v>
      </c>
      <c r="C184" s="668">
        <v>0</v>
      </c>
      <c r="D184" s="668">
        <v>5354.57</v>
      </c>
      <c r="E184" s="668">
        <v>5354.57</v>
      </c>
      <c r="F184" s="668">
        <f>32295-F538</f>
        <v>450</v>
      </c>
      <c r="G184" s="669">
        <f t="shared" si="43"/>
        <v>8.4040361784419666</v>
      </c>
      <c r="H184" s="669">
        <f t="shared" si="44"/>
        <v>8.4040361784419666</v>
      </c>
    </row>
    <row r="185" spans="1:8" s="691" customFormat="1" x14ac:dyDescent="0.2">
      <c r="A185" s="47">
        <v>4227</v>
      </c>
      <c r="B185" s="51" t="s">
        <v>192</v>
      </c>
      <c r="C185" s="671">
        <f>SUM(C186)</f>
        <v>7392.89</v>
      </c>
      <c r="D185" s="671">
        <f>SUM(D186)</f>
        <v>3981.68</v>
      </c>
      <c r="E185" s="671">
        <f>SUM(E186)</f>
        <v>3981.68</v>
      </c>
      <c r="F185" s="671">
        <f t="shared" ref="F185" si="61">SUM(F186)</f>
        <v>1135.52</v>
      </c>
      <c r="G185" s="672">
        <f t="shared" si="43"/>
        <v>28.518615257881098</v>
      </c>
      <c r="H185" s="672">
        <f t="shared" si="44"/>
        <v>28.518615257881098</v>
      </c>
    </row>
    <row r="186" spans="1:8" s="691" customFormat="1" x14ac:dyDescent="0.25">
      <c r="A186" s="49">
        <v>42273</v>
      </c>
      <c r="B186" s="56" t="s">
        <v>192</v>
      </c>
      <c r="C186" s="668">
        <v>7392.89</v>
      </c>
      <c r="D186" s="668">
        <v>3981.68</v>
      </c>
      <c r="E186" s="668">
        <v>3981.68</v>
      </c>
      <c r="F186" s="668">
        <f>1748.02-F779</f>
        <v>1135.52</v>
      </c>
      <c r="G186" s="669">
        <f t="shared" si="43"/>
        <v>28.518615257881098</v>
      </c>
      <c r="H186" s="669">
        <f t="shared" si="44"/>
        <v>28.518615257881098</v>
      </c>
    </row>
    <row r="187" spans="1:8" s="667" customFormat="1" x14ac:dyDescent="0.25">
      <c r="A187" s="47">
        <v>423</v>
      </c>
      <c r="B187" s="51" t="s">
        <v>193</v>
      </c>
      <c r="C187" s="665">
        <f>C189</f>
        <v>0</v>
      </c>
      <c r="D187" s="665">
        <f>D189</f>
        <v>6722.28</v>
      </c>
      <c r="E187" s="665">
        <f>E189</f>
        <v>6722.28</v>
      </c>
      <c r="F187" s="665">
        <f t="shared" ref="F187" si="62">F189</f>
        <v>0</v>
      </c>
      <c r="G187" s="666">
        <f t="shared" si="43"/>
        <v>0</v>
      </c>
      <c r="H187" s="666">
        <f t="shared" si="44"/>
        <v>0</v>
      </c>
    </row>
    <row r="188" spans="1:8" s="667" customFormat="1" x14ac:dyDescent="0.25">
      <c r="A188" s="47">
        <v>4231</v>
      </c>
      <c r="B188" s="51" t="s">
        <v>80</v>
      </c>
      <c r="C188" s="665">
        <f>SUM(C189)</f>
        <v>0</v>
      </c>
      <c r="D188" s="665">
        <f>SUM(D189)</f>
        <v>6722.28</v>
      </c>
      <c r="E188" s="665">
        <f>SUM(E189)</f>
        <v>6722.28</v>
      </c>
      <c r="F188" s="665">
        <f t="shared" ref="F188" si="63">SUM(F189)</f>
        <v>0</v>
      </c>
      <c r="G188" s="666">
        <f t="shared" si="43"/>
        <v>0</v>
      </c>
      <c r="H188" s="666">
        <f t="shared" si="44"/>
        <v>0</v>
      </c>
    </row>
    <row r="189" spans="1:8" s="691" customFormat="1" x14ac:dyDescent="0.25">
      <c r="A189" s="49">
        <v>42311</v>
      </c>
      <c r="B189" s="56" t="s">
        <v>451</v>
      </c>
      <c r="C189" s="668">
        <v>0</v>
      </c>
      <c r="D189" s="668">
        <v>6722.28</v>
      </c>
      <c r="E189" s="668">
        <v>6722.28</v>
      </c>
      <c r="F189" s="668">
        <v>0</v>
      </c>
      <c r="G189" s="669">
        <f t="shared" si="43"/>
        <v>0</v>
      </c>
      <c r="H189" s="669">
        <f t="shared" si="44"/>
        <v>0</v>
      </c>
    </row>
    <row r="190" spans="1:8" s="667" customFormat="1" hidden="1" x14ac:dyDescent="0.25">
      <c r="A190" s="47">
        <v>426</v>
      </c>
      <c r="B190" s="95" t="s">
        <v>194</v>
      </c>
      <c r="C190" s="52">
        <f>C191</f>
        <v>0</v>
      </c>
      <c r="D190" s="52">
        <f>D191</f>
        <v>0</v>
      </c>
      <c r="E190" s="52">
        <f>E191</f>
        <v>0</v>
      </c>
      <c r="F190" s="52">
        <f t="shared" ref="F190" si="64">F191</f>
        <v>0</v>
      </c>
      <c r="G190" s="591">
        <f t="shared" si="43"/>
        <v>0</v>
      </c>
      <c r="H190" s="591">
        <f t="shared" si="44"/>
        <v>0</v>
      </c>
    </row>
    <row r="191" spans="1:8" s="691" customFormat="1" hidden="1" x14ac:dyDescent="0.25">
      <c r="A191" s="49">
        <v>4262</v>
      </c>
      <c r="B191" s="96" t="s">
        <v>195</v>
      </c>
      <c r="C191" s="673"/>
      <c r="D191" s="673"/>
      <c r="E191" s="673"/>
      <c r="F191" s="673"/>
      <c r="G191" s="675">
        <f t="shared" si="43"/>
        <v>0</v>
      </c>
      <c r="H191" s="675">
        <f t="shared" si="44"/>
        <v>0</v>
      </c>
    </row>
    <row r="192" spans="1:8" s="692" customFormat="1" x14ac:dyDescent="0.25">
      <c r="A192" s="746" t="s">
        <v>196</v>
      </c>
      <c r="B192" s="752" t="s">
        <v>197</v>
      </c>
      <c r="C192" s="748">
        <f>C193+C196</f>
        <v>13603.14</v>
      </c>
      <c r="D192" s="748">
        <f>D193+D196</f>
        <v>23183.82</v>
      </c>
      <c r="E192" s="748">
        <f>E193+E196</f>
        <v>23183.82</v>
      </c>
      <c r="F192" s="748">
        <f t="shared" ref="F192" si="65">F193+F196</f>
        <v>682.58999999999651</v>
      </c>
      <c r="G192" s="749">
        <f t="shared" si="43"/>
        <v>2.9442516375644585</v>
      </c>
      <c r="H192" s="749">
        <f t="shared" si="44"/>
        <v>2.9442516375644585</v>
      </c>
    </row>
    <row r="193" spans="1:9" s="663" customFormat="1" x14ac:dyDescent="0.25">
      <c r="A193" s="39" t="s">
        <v>198</v>
      </c>
      <c r="B193" s="40" t="s">
        <v>199</v>
      </c>
      <c r="C193" s="665">
        <f>C194</f>
        <v>13603.14</v>
      </c>
      <c r="D193" s="665">
        <f>D194</f>
        <v>23183.82</v>
      </c>
      <c r="E193" s="665">
        <f>E194</f>
        <v>23183.82</v>
      </c>
      <c r="F193" s="665">
        <f t="shared" ref="F193" si="66">F194</f>
        <v>682.58999999999651</v>
      </c>
      <c r="G193" s="666">
        <f t="shared" si="43"/>
        <v>2.9442516375644585</v>
      </c>
      <c r="H193" s="666">
        <f t="shared" si="44"/>
        <v>2.9442516375644585</v>
      </c>
    </row>
    <row r="194" spans="1:9" s="663" customFormat="1" x14ac:dyDescent="0.25">
      <c r="A194" s="39" t="s">
        <v>200</v>
      </c>
      <c r="B194" s="40" t="s">
        <v>199</v>
      </c>
      <c r="C194" s="665">
        <f>SUM(C195)</f>
        <v>13603.14</v>
      </c>
      <c r="D194" s="665">
        <f>SUM(D195)</f>
        <v>23183.82</v>
      </c>
      <c r="E194" s="665">
        <f>SUM(E195)</f>
        <v>23183.82</v>
      </c>
      <c r="F194" s="665">
        <f t="shared" ref="F194" si="67">SUM(F195)</f>
        <v>682.58999999999651</v>
      </c>
      <c r="G194" s="666">
        <f t="shared" si="43"/>
        <v>2.9442516375644585</v>
      </c>
      <c r="H194" s="666">
        <f t="shared" si="44"/>
        <v>2.9442516375644585</v>
      </c>
    </row>
    <row r="195" spans="1:9" s="676" customFormat="1" x14ac:dyDescent="0.25">
      <c r="A195" s="41" t="s">
        <v>494</v>
      </c>
      <c r="B195" s="42" t="s">
        <v>199</v>
      </c>
      <c r="C195" s="668">
        <v>13603.14</v>
      </c>
      <c r="D195" s="668">
        <v>23183.82</v>
      </c>
      <c r="E195" s="668">
        <v>23183.82</v>
      </c>
      <c r="F195" s="668">
        <f>84803.75-F542-F794</f>
        <v>682.58999999999651</v>
      </c>
      <c r="G195" s="669">
        <f t="shared" si="43"/>
        <v>2.9442516375644585</v>
      </c>
      <c r="H195" s="669">
        <f t="shared" si="44"/>
        <v>2.9442516375644585</v>
      </c>
    </row>
    <row r="196" spans="1:9" s="693" customFormat="1" hidden="1" x14ac:dyDescent="0.25">
      <c r="A196" s="39" t="s">
        <v>201</v>
      </c>
      <c r="B196" s="40" t="s">
        <v>202</v>
      </c>
      <c r="C196" s="671">
        <f>C197</f>
        <v>0</v>
      </c>
      <c r="D196" s="671">
        <f>D197</f>
        <v>0</v>
      </c>
      <c r="E196" s="671">
        <f>E197</f>
        <v>0</v>
      </c>
      <c r="F196" s="671">
        <f t="shared" ref="F196" si="68">F197</f>
        <v>0</v>
      </c>
      <c r="G196" s="672">
        <f t="shared" si="43"/>
        <v>0</v>
      </c>
      <c r="H196" s="672">
        <f t="shared" si="44"/>
        <v>0</v>
      </c>
    </row>
    <row r="197" spans="1:9" s="693" customFormat="1" hidden="1" x14ac:dyDescent="0.25">
      <c r="A197" s="39" t="s">
        <v>203</v>
      </c>
      <c r="B197" s="40" t="s">
        <v>202</v>
      </c>
      <c r="C197" s="671"/>
      <c r="D197" s="671"/>
      <c r="E197" s="671"/>
      <c r="F197" s="671"/>
      <c r="G197" s="672">
        <f t="shared" si="43"/>
        <v>0</v>
      </c>
      <c r="H197" s="672">
        <f t="shared" si="44"/>
        <v>0</v>
      </c>
    </row>
    <row r="198" spans="1:9" s="695" customFormat="1" x14ac:dyDescent="0.25">
      <c r="A198" s="720" t="s">
        <v>65</v>
      </c>
      <c r="B198" s="721" t="s">
        <v>210</v>
      </c>
      <c r="C198" s="724">
        <f>C199+C280</f>
        <v>140194.37</v>
      </c>
      <c r="D198" s="724">
        <f>D199+D280</f>
        <v>163116.33000000002</v>
      </c>
      <c r="E198" s="724">
        <f>E199+E280</f>
        <v>163116.33000000002</v>
      </c>
      <c r="F198" s="724">
        <f>F199+F280</f>
        <v>137837.86000000002</v>
      </c>
      <c r="G198" s="725">
        <f t="shared" si="43"/>
        <v>84.502796255899099</v>
      </c>
      <c r="H198" s="725">
        <f t="shared" si="44"/>
        <v>84.502796255899099</v>
      </c>
      <c r="I198" s="694"/>
    </row>
    <row r="199" spans="1:9" s="695" customFormat="1" x14ac:dyDescent="0.25">
      <c r="A199" s="738" t="s">
        <v>86</v>
      </c>
      <c r="B199" s="735" t="s">
        <v>87</v>
      </c>
      <c r="C199" s="736">
        <f>C200+C214+C263+C269+C272</f>
        <v>140194.37</v>
      </c>
      <c r="D199" s="736">
        <f>D200+D214+D263+D269+D272</f>
        <v>163116.33000000002</v>
      </c>
      <c r="E199" s="736">
        <f>E200+E214+E263+E269+E272</f>
        <v>163116.33000000002</v>
      </c>
      <c r="F199" s="736">
        <f>F200+F214+F263+F269+F272</f>
        <v>137837.86000000002</v>
      </c>
      <c r="G199" s="737">
        <f t="shared" ref="G199:G262" si="69">IFERROR(F199/D199*100,F199)</f>
        <v>84.502796255899099</v>
      </c>
      <c r="H199" s="737">
        <f t="shared" ref="H199:H262" si="70">IFERROR(F199/E199*100,F199)</f>
        <v>84.502796255899099</v>
      </c>
    </row>
    <row r="200" spans="1:9" s="695" customFormat="1" x14ac:dyDescent="0.25">
      <c r="A200" s="746">
        <v>31</v>
      </c>
      <c r="B200" s="747" t="s">
        <v>88</v>
      </c>
      <c r="C200" s="748">
        <f>C201+C208+C211</f>
        <v>62630.28</v>
      </c>
      <c r="D200" s="748">
        <f>D201+D208+D211</f>
        <v>67928.2</v>
      </c>
      <c r="E200" s="748">
        <f>E201+E208+E211</f>
        <v>67928.2</v>
      </c>
      <c r="F200" s="748">
        <f>F201+F208+F211</f>
        <v>66793.440000000002</v>
      </c>
      <c r="G200" s="749">
        <f t="shared" si="69"/>
        <v>98.329471412461984</v>
      </c>
      <c r="H200" s="749">
        <f t="shared" si="70"/>
        <v>98.329471412461984</v>
      </c>
    </row>
    <row r="201" spans="1:9" s="695" customFormat="1" x14ac:dyDescent="0.25">
      <c r="A201" s="39">
        <v>311</v>
      </c>
      <c r="B201" s="40" t="s">
        <v>89</v>
      </c>
      <c r="C201" s="665">
        <f>C202+C204+C205+C206</f>
        <v>52423.519999999997</v>
      </c>
      <c r="D201" s="665">
        <f>D202+D204+D205+D206</f>
        <v>56139.76</v>
      </c>
      <c r="E201" s="665">
        <f>E202+E204+E205+E206</f>
        <v>56139.76</v>
      </c>
      <c r="F201" s="665">
        <f t="shared" ref="F201" si="71">F202+F204+F205+F206</f>
        <v>56139.76</v>
      </c>
      <c r="G201" s="666">
        <f t="shared" si="69"/>
        <v>100</v>
      </c>
      <c r="H201" s="666">
        <f t="shared" si="70"/>
        <v>100</v>
      </c>
    </row>
    <row r="202" spans="1:9" s="695" customFormat="1" x14ac:dyDescent="0.25">
      <c r="A202" s="39">
        <v>3111</v>
      </c>
      <c r="B202" s="40" t="s">
        <v>90</v>
      </c>
      <c r="C202" s="665">
        <f>SUM(C203)</f>
        <v>52423.519999999997</v>
      </c>
      <c r="D202" s="665">
        <f>SUM(D203)</f>
        <v>56139.76</v>
      </c>
      <c r="E202" s="665">
        <f>SUM(E203)</f>
        <v>56139.76</v>
      </c>
      <c r="F202" s="665">
        <f t="shared" ref="F202" si="72">SUM(F203)</f>
        <v>56139.76</v>
      </c>
      <c r="G202" s="666">
        <f t="shared" si="69"/>
        <v>100</v>
      </c>
      <c r="H202" s="666">
        <f t="shared" si="70"/>
        <v>100</v>
      </c>
    </row>
    <row r="203" spans="1:9" s="696" customFormat="1" x14ac:dyDescent="0.25">
      <c r="A203" s="41" t="s">
        <v>465</v>
      </c>
      <c r="B203" s="42" t="s">
        <v>90</v>
      </c>
      <c r="C203" s="668">
        <v>52423.519999999997</v>
      </c>
      <c r="D203" s="668">
        <v>56139.76</v>
      </c>
      <c r="E203" s="668">
        <v>56139.76</v>
      </c>
      <c r="F203" s="668">
        <v>56139.76</v>
      </c>
      <c r="G203" s="669">
        <f t="shared" si="69"/>
        <v>100</v>
      </c>
      <c r="H203" s="669">
        <f t="shared" si="70"/>
        <v>100</v>
      </c>
    </row>
    <row r="204" spans="1:9" s="696" customFormat="1" hidden="1" x14ac:dyDescent="0.2">
      <c r="A204" s="39" t="s">
        <v>91</v>
      </c>
      <c r="B204" s="40" t="s">
        <v>92</v>
      </c>
      <c r="C204" s="671"/>
      <c r="D204" s="671"/>
      <c r="E204" s="671"/>
      <c r="F204" s="671"/>
      <c r="G204" s="672">
        <f t="shared" si="69"/>
        <v>0</v>
      </c>
      <c r="H204" s="672">
        <f t="shared" si="70"/>
        <v>0</v>
      </c>
    </row>
    <row r="205" spans="1:9" s="696" customFormat="1" hidden="1" x14ac:dyDescent="0.2">
      <c r="A205" s="39" t="s">
        <v>93</v>
      </c>
      <c r="B205" s="40" t="s">
        <v>94</v>
      </c>
      <c r="C205" s="671"/>
      <c r="D205" s="671"/>
      <c r="E205" s="671"/>
      <c r="F205" s="671"/>
      <c r="G205" s="672">
        <f t="shared" si="69"/>
        <v>0</v>
      </c>
      <c r="H205" s="672">
        <f t="shared" si="70"/>
        <v>0</v>
      </c>
    </row>
    <row r="206" spans="1:9" s="696" customFormat="1" hidden="1" x14ac:dyDescent="0.2">
      <c r="A206" s="39" t="s">
        <v>95</v>
      </c>
      <c r="B206" s="40" t="s">
        <v>211</v>
      </c>
      <c r="C206" s="671">
        <f>SUM(C207)</f>
        <v>0</v>
      </c>
      <c r="D206" s="671">
        <f>SUM(D207)</f>
        <v>0</v>
      </c>
      <c r="E206" s="671">
        <f>SUM(E207)</f>
        <v>0</v>
      </c>
      <c r="F206" s="671">
        <f t="shared" ref="F206" si="73">SUM(F207)</f>
        <v>0</v>
      </c>
      <c r="G206" s="672">
        <f t="shared" si="69"/>
        <v>0</v>
      </c>
      <c r="H206" s="672">
        <f t="shared" si="70"/>
        <v>0</v>
      </c>
    </row>
    <row r="207" spans="1:9" s="696" customFormat="1" hidden="1" x14ac:dyDescent="0.25">
      <c r="A207" s="41" t="s">
        <v>468</v>
      </c>
      <c r="B207" s="42" t="s">
        <v>211</v>
      </c>
      <c r="C207" s="668"/>
      <c r="D207" s="668">
        <v>0</v>
      </c>
      <c r="E207" s="668"/>
      <c r="F207" s="668">
        <v>0</v>
      </c>
      <c r="G207" s="669">
        <f t="shared" si="69"/>
        <v>0</v>
      </c>
      <c r="H207" s="669">
        <f t="shared" si="70"/>
        <v>0</v>
      </c>
    </row>
    <row r="208" spans="1:9" s="695" customFormat="1" x14ac:dyDescent="0.25">
      <c r="A208" s="39" t="s">
        <v>97</v>
      </c>
      <c r="B208" s="40" t="s">
        <v>98</v>
      </c>
      <c r="C208" s="665">
        <f t="shared" ref="C208:E209" si="74">C209</f>
        <v>2400</v>
      </c>
      <c r="D208" s="665">
        <f t="shared" si="74"/>
        <v>3981.68</v>
      </c>
      <c r="E208" s="665">
        <f t="shared" si="74"/>
        <v>3981.68</v>
      </c>
      <c r="F208" s="665">
        <f t="shared" ref="F208:F209" si="75">F209</f>
        <v>3000</v>
      </c>
      <c r="G208" s="666">
        <f t="shared" si="69"/>
        <v>75.345080468545945</v>
      </c>
      <c r="H208" s="666">
        <f t="shared" si="70"/>
        <v>75.345080468545945</v>
      </c>
    </row>
    <row r="209" spans="1:8" s="695" customFormat="1" x14ac:dyDescent="0.25">
      <c r="A209" s="39" t="s">
        <v>99</v>
      </c>
      <c r="B209" s="40" t="s">
        <v>98</v>
      </c>
      <c r="C209" s="665">
        <f t="shared" si="74"/>
        <v>2400</v>
      </c>
      <c r="D209" s="665">
        <f t="shared" si="74"/>
        <v>3981.68</v>
      </c>
      <c r="E209" s="665">
        <f t="shared" si="74"/>
        <v>3981.68</v>
      </c>
      <c r="F209" s="665">
        <f t="shared" si="75"/>
        <v>3000</v>
      </c>
      <c r="G209" s="666">
        <f t="shared" si="69"/>
        <v>75.345080468545945</v>
      </c>
      <c r="H209" s="666">
        <f t="shared" si="70"/>
        <v>75.345080468545945</v>
      </c>
    </row>
    <row r="210" spans="1:8" s="696" customFormat="1" x14ac:dyDescent="0.25">
      <c r="A210" s="41" t="s">
        <v>474</v>
      </c>
      <c r="B210" s="42" t="s">
        <v>381</v>
      </c>
      <c r="C210" s="668">
        <v>2400</v>
      </c>
      <c r="D210" s="668">
        <v>3981.68</v>
      </c>
      <c r="E210" s="668">
        <v>3981.68</v>
      </c>
      <c r="F210" s="668">
        <v>3000</v>
      </c>
      <c r="G210" s="669">
        <f t="shared" si="69"/>
        <v>75.345080468545945</v>
      </c>
      <c r="H210" s="669">
        <f t="shared" si="70"/>
        <v>75.345080468545945</v>
      </c>
    </row>
    <row r="211" spans="1:8" s="695" customFormat="1" x14ac:dyDescent="0.25">
      <c r="A211" s="39">
        <v>313</v>
      </c>
      <c r="B211" s="40" t="s">
        <v>100</v>
      </c>
      <c r="C211" s="665">
        <f>C212</f>
        <v>7806.76</v>
      </c>
      <c r="D211" s="665">
        <f>D212</f>
        <v>7806.76</v>
      </c>
      <c r="E211" s="665">
        <f>E212</f>
        <v>7806.76</v>
      </c>
      <c r="F211" s="665">
        <f t="shared" ref="F211" si="76">F212</f>
        <v>7653.68</v>
      </c>
      <c r="G211" s="666">
        <f t="shared" si="69"/>
        <v>98.039135313497539</v>
      </c>
      <c r="H211" s="666">
        <f t="shared" si="70"/>
        <v>98.039135313497539</v>
      </c>
    </row>
    <row r="212" spans="1:8" s="695" customFormat="1" x14ac:dyDescent="0.25">
      <c r="A212" s="39">
        <v>3132</v>
      </c>
      <c r="B212" s="40" t="s">
        <v>101</v>
      </c>
      <c r="C212" s="665">
        <f>SUM(C213)</f>
        <v>7806.76</v>
      </c>
      <c r="D212" s="665">
        <f>SUM(D213)</f>
        <v>7806.76</v>
      </c>
      <c r="E212" s="665">
        <f>SUM(E213)</f>
        <v>7806.76</v>
      </c>
      <c r="F212" s="665">
        <f>SUM(F213)</f>
        <v>7653.68</v>
      </c>
      <c r="G212" s="666">
        <f t="shared" si="69"/>
        <v>98.039135313497539</v>
      </c>
      <c r="H212" s="666">
        <f t="shared" si="70"/>
        <v>98.039135313497539</v>
      </c>
    </row>
    <row r="213" spans="1:8" s="696" customFormat="1" x14ac:dyDescent="0.25">
      <c r="A213" s="41" t="s">
        <v>475</v>
      </c>
      <c r="B213" s="42" t="s">
        <v>101</v>
      </c>
      <c r="C213" s="668">
        <v>7806.76</v>
      </c>
      <c r="D213" s="668">
        <v>7806.76</v>
      </c>
      <c r="E213" s="668">
        <v>7806.76</v>
      </c>
      <c r="F213" s="668">
        <v>7653.68</v>
      </c>
      <c r="G213" s="669">
        <f t="shared" si="69"/>
        <v>98.039135313497539</v>
      </c>
      <c r="H213" s="669">
        <f t="shared" si="70"/>
        <v>98.039135313497539</v>
      </c>
    </row>
    <row r="214" spans="1:8" s="695" customFormat="1" x14ac:dyDescent="0.25">
      <c r="A214" s="746">
        <v>32</v>
      </c>
      <c r="B214" s="747" t="s">
        <v>102</v>
      </c>
      <c r="C214" s="748">
        <f>C215+C223+C235+C255</f>
        <v>77564.090000000011</v>
      </c>
      <c r="D214" s="748">
        <f>D215+D223+D235+D255</f>
        <v>95188.13</v>
      </c>
      <c r="E214" s="748">
        <f>E215+E223+E235+E251+E255</f>
        <v>95188.130000000019</v>
      </c>
      <c r="F214" s="748">
        <f>F215+F223+F235+F251+F255</f>
        <v>71044.420000000013</v>
      </c>
      <c r="G214" s="749">
        <f t="shared" si="69"/>
        <v>74.635797551648523</v>
      </c>
      <c r="H214" s="749">
        <f t="shared" si="70"/>
        <v>74.635797551648508</v>
      </c>
    </row>
    <row r="215" spans="1:8" s="695" customFormat="1" x14ac:dyDescent="0.25">
      <c r="A215" s="39" t="s">
        <v>215</v>
      </c>
      <c r="B215" s="51" t="s">
        <v>103</v>
      </c>
      <c r="C215" s="665">
        <f>C216+C218+C220+C222</f>
        <v>12311.04</v>
      </c>
      <c r="D215" s="665">
        <f>D216+D218+D220+D222</f>
        <v>14599.500000000002</v>
      </c>
      <c r="E215" s="665">
        <f>E216+E218+E220+E222</f>
        <v>14599.500000000002</v>
      </c>
      <c r="F215" s="665">
        <f>F216+F218+F220+F222</f>
        <v>14267.7</v>
      </c>
      <c r="G215" s="666">
        <f t="shared" si="69"/>
        <v>97.727319428747549</v>
      </c>
      <c r="H215" s="666">
        <f t="shared" si="70"/>
        <v>97.727319428747549</v>
      </c>
    </row>
    <row r="216" spans="1:8" s="695" customFormat="1" x14ac:dyDescent="0.25">
      <c r="A216" s="39" t="s">
        <v>104</v>
      </c>
      <c r="B216" s="51" t="s">
        <v>105</v>
      </c>
      <c r="C216" s="665">
        <f>SUM(C217)</f>
        <v>463.61</v>
      </c>
      <c r="D216" s="665">
        <f>SUM(D217)</f>
        <v>663.61</v>
      </c>
      <c r="E216" s="665">
        <f>SUM(E217)</f>
        <v>663.61</v>
      </c>
      <c r="F216" s="665">
        <f t="shared" ref="F216" si="77">SUM(F217)</f>
        <v>331.81</v>
      </c>
      <c r="G216" s="666">
        <f t="shared" si="69"/>
        <v>50.000753454589287</v>
      </c>
      <c r="H216" s="666">
        <f t="shared" si="70"/>
        <v>50.000753454589287</v>
      </c>
    </row>
    <row r="217" spans="1:8" s="696" customFormat="1" x14ac:dyDescent="0.25">
      <c r="A217" s="41" t="s">
        <v>495</v>
      </c>
      <c r="B217" s="56" t="s">
        <v>390</v>
      </c>
      <c r="C217" s="668">
        <v>463.61</v>
      </c>
      <c r="D217" s="668">
        <v>663.61</v>
      </c>
      <c r="E217" s="668">
        <v>663.61</v>
      </c>
      <c r="F217" s="668">
        <v>331.81</v>
      </c>
      <c r="G217" s="669">
        <f t="shared" si="69"/>
        <v>50.000753454589287</v>
      </c>
      <c r="H217" s="669">
        <f t="shared" si="70"/>
        <v>50.000753454589287</v>
      </c>
    </row>
    <row r="218" spans="1:8" s="696" customFormat="1" x14ac:dyDescent="0.2">
      <c r="A218" s="39" t="s">
        <v>106</v>
      </c>
      <c r="B218" s="51" t="s">
        <v>107</v>
      </c>
      <c r="C218" s="671">
        <f>SUM(C219)</f>
        <v>11383.82</v>
      </c>
      <c r="D218" s="671">
        <f>SUM(D219)</f>
        <v>13272.28</v>
      </c>
      <c r="E218" s="671">
        <f>SUM(E219)</f>
        <v>13272.28</v>
      </c>
      <c r="F218" s="671">
        <f t="shared" ref="F218" si="78">SUM(F219)</f>
        <v>13272.28</v>
      </c>
      <c r="G218" s="672">
        <f t="shared" si="69"/>
        <v>100</v>
      </c>
      <c r="H218" s="672">
        <f t="shared" si="70"/>
        <v>100</v>
      </c>
    </row>
    <row r="219" spans="1:8" s="696" customFormat="1" x14ac:dyDescent="0.25">
      <c r="A219" s="41" t="s">
        <v>476</v>
      </c>
      <c r="B219" s="56" t="s">
        <v>283</v>
      </c>
      <c r="C219" s="668">
        <v>11383.82</v>
      </c>
      <c r="D219" s="668">
        <v>13272.28</v>
      </c>
      <c r="E219" s="668">
        <v>13272.28</v>
      </c>
      <c r="F219" s="668">
        <v>13272.28</v>
      </c>
      <c r="G219" s="669">
        <f t="shared" si="69"/>
        <v>100</v>
      </c>
      <c r="H219" s="669">
        <f t="shared" si="70"/>
        <v>100</v>
      </c>
    </row>
    <row r="220" spans="1:8" s="696" customFormat="1" x14ac:dyDescent="0.2">
      <c r="A220" s="39" t="s">
        <v>108</v>
      </c>
      <c r="B220" s="51" t="s">
        <v>109</v>
      </c>
      <c r="C220" s="671">
        <f>SUM(C221)</f>
        <v>463.61</v>
      </c>
      <c r="D220" s="671">
        <f>SUM(D221)</f>
        <v>663.61</v>
      </c>
      <c r="E220" s="671">
        <f>SUM(E221)</f>
        <v>663.61</v>
      </c>
      <c r="F220" s="671">
        <f t="shared" ref="F220" si="79">SUM(F221)</f>
        <v>663.61</v>
      </c>
      <c r="G220" s="672">
        <f t="shared" si="69"/>
        <v>100</v>
      </c>
      <c r="H220" s="672">
        <f t="shared" si="70"/>
        <v>100</v>
      </c>
    </row>
    <row r="221" spans="1:8" s="696" customFormat="1" x14ac:dyDescent="0.25">
      <c r="A221" s="41" t="s">
        <v>496</v>
      </c>
      <c r="B221" s="56" t="s">
        <v>392</v>
      </c>
      <c r="C221" s="668">
        <v>463.61</v>
      </c>
      <c r="D221" s="668">
        <v>663.61</v>
      </c>
      <c r="E221" s="668">
        <v>663.61</v>
      </c>
      <c r="F221" s="668">
        <v>663.61</v>
      </c>
      <c r="G221" s="669">
        <f t="shared" si="69"/>
        <v>100</v>
      </c>
      <c r="H221" s="669">
        <f t="shared" si="70"/>
        <v>100</v>
      </c>
    </row>
    <row r="222" spans="1:8" s="696" customFormat="1" hidden="1" x14ac:dyDescent="0.2">
      <c r="A222" s="39" t="s">
        <v>110</v>
      </c>
      <c r="B222" s="51" t="s">
        <v>111</v>
      </c>
      <c r="C222" s="671"/>
      <c r="D222" s="671"/>
      <c r="E222" s="671"/>
      <c r="F222" s="671"/>
      <c r="G222" s="672">
        <f t="shared" si="69"/>
        <v>0</v>
      </c>
      <c r="H222" s="672">
        <f t="shared" si="70"/>
        <v>0</v>
      </c>
    </row>
    <row r="223" spans="1:8" s="648" customFormat="1" x14ac:dyDescent="0.25">
      <c r="A223" s="39" t="s">
        <v>112</v>
      </c>
      <c r="B223" s="40" t="s">
        <v>113</v>
      </c>
      <c r="C223" s="665">
        <f>C224+C226+C229+C232+C233+C234</f>
        <v>49398.76</v>
      </c>
      <c r="D223" s="665">
        <f>D224+D226+D229+D232+D233+D234</f>
        <v>49398.76</v>
      </c>
      <c r="E223" s="665">
        <f>E224+E226+E229+E232+E233+E234</f>
        <v>19444.55</v>
      </c>
      <c r="F223" s="665">
        <f>F224+F226+F229+F232+F233+F234</f>
        <v>19294.55</v>
      </c>
      <c r="G223" s="666">
        <f t="shared" si="69"/>
        <v>39.05877394493303</v>
      </c>
      <c r="H223" s="666">
        <f t="shared" si="70"/>
        <v>99.2285756163038</v>
      </c>
    </row>
    <row r="224" spans="1:8" s="648" customFormat="1" x14ac:dyDescent="0.25">
      <c r="A224" s="39" t="s">
        <v>114</v>
      </c>
      <c r="B224" s="40" t="s">
        <v>115</v>
      </c>
      <c r="C224" s="665">
        <f>SUM(C225)</f>
        <v>639.19000000000005</v>
      </c>
      <c r="D224" s="665">
        <f>SUM(D225)</f>
        <v>639.19000000000005</v>
      </c>
      <c r="E224" s="665">
        <f>SUM(E225)</f>
        <v>639.19000000000005</v>
      </c>
      <c r="F224" s="665">
        <f t="shared" ref="F224" si="80">SUM(F225)</f>
        <v>639.19000000000005</v>
      </c>
      <c r="G224" s="666">
        <f t="shared" si="69"/>
        <v>100</v>
      </c>
      <c r="H224" s="666">
        <f t="shared" si="70"/>
        <v>100</v>
      </c>
    </row>
    <row r="225" spans="1:8" s="697" customFormat="1" x14ac:dyDescent="0.25">
      <c r="A225" s="41" t="s">
        <v>497</v>
      </c>
      <c r="B225" s="42" t="s">
        <v>394</v>
      </c>
      <c r="C225" s="668">
        <v>639.19000000000005</v>
      </c>
      <c r="D225" s="668">
        <v>639.19000000000005</v>
      </c>
      <c r="E225" s="668">
        <v>639.19000000000005</v>
      </c>
      <c r="F225" s="668">
        <v>639.19000000000005</v>
      </c>
      <c r="G225" s="669">
        <f t="shared" si="69"/>
        <v>100</v>
      </c>
      <c r="H225" s="669">
        <f t="shared" si="70"/>
        <v>100</v>
      </c>
    </row>
    <row r="226" spans="1:8" s="697" customFormat="1" x14ac:dyDescent="0.2">
      <c r="A226" s="39" t="s">
        <v>116</v>
      </c>
      <c r="B226" s="40" t="s">
        <v>117</v>
      </c>
      <c r="C226" s="671">
        <f>SUM(C227:C228)</f>
        <v>9954.2099999999991</v>
      </c>
      <c r="D226" s="671">
        <f>SUM(D227:D228)</f>
        <v>9954.2099999999991</v>
      </c>
      <c r="E226" s="671">
        <f>SUM(E227:E228)</f>
        <v>0</v>
      </c>
      <c r="F226" s="671">
        <f t="shared" ref="F226" si="81">SUM(F227:F228)</f>
        <v>0</v>
      </c>
      <c r="G226" s="672">
        <f t="shared" si="69"/>
        <v>0</v>
      </c>
      <c r="H226" s="672">
        <f t="shared" si="70"/>
        <v>0</v>
      </c>
    </row>
    <row r="227" spans="1:8" s="697" customFormat="1" x14ac:dyDescent="0.25">
      <c r="A227" s="41" t="s">
        <v>478</v>
      </c>
      <c r="B227" s="42" t="s">
        <v>399</v>
      </c>
      <c r="C227" s="668">
        <v>7000</v>
      </c>
      <c r="D227" s="668">
        <v>7000</v>
      </c>
      <c r="E227" s="668"/>
      <c r="F227" s="668">
        <v>0</v>
      </c>
      <c r="G227" s="669">
        <f t="shared" si="69"/>
        <v>0</v>
      </c>
      <c r="H227" s="669">
        <f t="shared" si="70"/>
        <v>0</v>
      </c>
    </row>
    <row r="228" spans="1:8" x14ac:dyDescent="0.25">
      <c r="A228" s="41" t="s">
        <v>479</v>
      </c>
      <c r="B228" s="42" t="s">
        <v>400</v>
      </c>
      <c r="C228" s="668">
        <v>2954.21</v>
      </c>
      <c r="D228" s="668">
        <f>9954.21-D227</f>
        <v>2954.2099999999991</v>
      </c>
      <c r="E228" s="668"/>
      <c r="F228" s="668">
        <v>0</v>
      </c>
      <c r="G228" s="669">
        <f t="shared" si="69"/>
        <v>0</v>
      </c>
      <c r="H228" s="669">
        <f t="shared" si="70"/>
        <v>0</v>
      </c>
    </row>
    <row r="229" spans="1:8" x14ac:dyDescent="0.25">
      <c r="A229" s="39" t="s">
        <v>118</v>
      </c>
      <c r="B229" s="40" t="s">
        <v>119</v>
      </c>
      <c r="C229" s="671">
        <f>SUM(C230:C231)</f>
        <v>38805.360000000001</v>
      </c>
      <c r="D229" s="671">
        <f>SUM(D230:D231)</f>
        <v>38805.360000000001</v>
      </c>
      <c r="E229" s="671">
        <f>SUM(E230:E231)</f>
        <v>18805.36</v>
      </c>
      <c r="F229" s="671">
        <f t="shared" ref="F229" si="82">SUM(F230:F231)</f>
        <v>18655.36</v>
      </c>
      <c r="G229" s="672">
        <f t="shared" si="69"/>
        <v>48.074183566393927</v>
      </c>
      <c r="H229" s="672">
        <f t="shared" si="70"/>
        <v>99.202355073234443</v>
      </c>
    </row>
    <row r="230" spans="1:8" x14ac:dyDescent="0.25">
      <c r="A230" s="41" t="s">
        <v>483</v>
      </c>
      <c r="B230" s="42" t="s">
        <v>405</v>
      </c>
      <c r="C230" s="668">
        <v>13500</v>
      </c>
      <c r="D230" s="668">
        <v>13500</v>
      </c>
      <c r="E230" s="668">
        <v>13500</v>
      </c>
      <c r="F230" s="668">
        <v>13350</v>
      </c>
      <c r="G230" s="669">
        <f t="shared" si="69"/>
        <v>98.888888888888886</v>
      </c>
      <c r="H230" s="669">
        <f t="shared" si="70"/>
        <v>98.888888888888886</v>
      </c>
    </row>
    <row r="231" spans="1:8" x14ac:dyDescent="0.25">
      <c r="A231" s="41" t="s">
        <v>484</v>
      </c>
      <c r="B231" s="42" t="s">
        <v>402</v>
      </c>
      <c r="C231" s="668">
        <v>25305.360000000001</v>
      </c>
      <c r="D231" s="668">
        <f>38805.36-D230</f>
        <v>25305.360000000001</v>
      </c>
      <c r="E231" s="668">
        <v>5305.36</v>
      </c>
      <c r="F231" s="668">
        <v>5305.36</v>
      </c>
      <c r="G231" s="669">
        <f t="shared" si="69"/>
        <v>20.965360698286844</v>
      </c>
      <c r="H231" s="669">
        <f t="shared" si="70"/>
        <v>100</v>
      </c>
    </row>
    <row r="232" spans="1:8" hidden="1" x14ac:dyDescent="0.25">
      <c r="A232" s="39" t="s">
        <v>120</v>
      </c>
      <c r="B232" s="40" t="s">
        <v>321</v>
      </c>
      <c r="C232" s="671"/>
      <c r="D232" s="671"/>
      <c r="E232" s="671"/>
      <c r="F232" s="671"/>
      <c r="G232" s="672">
        <f t="shared" si="69"/>
        <v>0</v>
      </c>
      <c r="H232" s="672">
        <f t="shared" si="70"/>
        <v>0</v>
      </c>
    </row>
    <row r="233" spans="1:8" hidden="1" x14ac:dyDescent="0.25">
      <c r="A233" s="39" t="s">
        <v>122</v>
      </c>
      <c r="B233" s="40" t="s">
        <v>123</v>
      </c>
      <c r="C233" s="671"/>
      <c r="D233" s="671"/>
      <c r="E233" s="671"/>
      <c r="F233" s="671"/>
      <c r="G233" s="672">
        <f t="shared" si="69"/>
        <v>0</v>
      </c>
      <c r="H233" s="672">
        <f t="shared" si="70"/>
        <v>0</v>
      </c>
    </row>
    <row r="234" spans="1:8" hidden="1" x14ac:dyDescent="0.25">
      <c r="A234" s="39" t="s">
        <v>124</v>
      </c>
      <c r="B234" s="40" t="s">
        <v>322</v>
      </c>
      <c r="C234" s="671"/>
      <c r="D234" s="671"/>
      <c r="E234" s="671"/>
      <c r="F234" s="671"/>
      <c r="G234" s="672">
        <f t="shared" si="69"/>
        <v>0</v>
      </c>
      <c r="H234" s="672">
        <f t="shared" si="70"/>
        <v>0</v>
      </c>
    </row>
    <row r="235" spans="1:8" s="663" customFormat="1" x14ac:dyDescent="0.25">
      <c r="A235" s="39" t="s">
        <v>126</v>
      </c>
      <c r="B235" s="40" t="s">
        <v>127</v>
      </c>
      <c r="C235" s="665">
        <f>C236+C237+C241+C242+C243+C244+C246+C248+C249</f>
        <v>13199.83</v>
      </c>
      <c r="D235" s="665">
        <f>D236+D237+D241+D242+D243+D244+D246+D248+D249</f>
        <v>28535.41</v>
      </c>
      <c r="E235" s="665">
        <f>E236+E237+E241+E242+E243+E244+E246+E248+E249</f>
        <v>28535.41</v>
      </c>
      <c r="F235" s="665">
        <f>F236+F237+F241+F242+F243+F244+F246+F248+F249</f>
        <v>10617.83</v>
      </c>
      <c r="G235" s="666">
        <f t="shared" si="69"/>
        <v>37.209312920333012</v>
      </c>
      <c r="H235" s="666">
        <f t="shared" si="70"/>
        <v>37.209312920333012</v>
      </c>
    </row>
    <row r="236" spans="1:8" hidden="1" x14ac:dyDescent="0.25">
      <c r="A236" s="39" t="s">
        <v>128</v>
      </c>
      <c r="B236" s="40" t="s">
        <v>129</v>
      </c>
      <c r="C236" s="671"/>
      <c r="D236" s="671"/>
      <c r="E236" s="671"/>
      <c r="F236" s="671"/>
      <c r="G236" s="672">
        <f t="shared" si="69"/>
        <v>0</v>
      </c>
      <c r="H236" s="672">
        <f t="shared" si="70"/>
        <v>0</v>
      </c>
    </row>
    <row r="237" spans="1:8" x14ac:dyDescent="0.25">
      <c r="A237" s="39" t="s">
        <v>130</v>
      </c>
      <c r="B237" s="40" t="s">
        <v>131</v>
      </c>
      <c r="C237" s="671">
        <f>SUM(C238:C240)</f>
        <v>3750</v>
      </c>
      <c r="D237" s="671">
        <f>SUM(D238:D240)</f>
        <v>17917.580000000002</v>
      </c>
      <c r="E237" s="671">
        <f>SUM(E238:E240)</f>
        <v>17917.580000000002</v>
      </c>
      <c r="F237" s="671">
        <f t="shared" ref="F237" si="83">SUM(F238:F240)</f>
        <v>0</v>
      </c>
      <c r="G237" s="672">
        <f t="shared" si="69"/>
        <v>0</v>
      </c>
      <c r="H237" s="672">
        <f t="shared" si="70"/>
        <v>0</v>
      </c>
    </row>
    <row r="238" spans="1:8" x14ac:dyDescent="0.25">
      <c r="A238" s="41">
        <v>32321</v>
      </c>
      <c r="B238" s="42" t="s">
        <v>413</v>
      </c>
      <c r="C238" s="668">
        <v>0</v>
      </c>
      <c r="D238" s="668">
        <v>11000</v>
      </c>
      <c r="E238" s="668">
        <v>11000</v>
      </c>
      <c r="F238" s="668"/>
      <c r="G238" s="669">
        <f t="shared" si="69"/>
        <v>0</v>
      </c>
      <c r="H238" s="669">
        <f t="shared" si="70"/>
        <v>0</v>
      </c>
    </row>
    <row r="239" spans="1:8" x14ac:dyDescent="0.25">
      <c r="A239" s="41">
        <v>32322</v>
      </c>
      <c r="B239" s="42" t="s">
        <v>414</v>
      </c>
      <c r="C239" s="668">
        <v>3750</v>
      </c>
      <c r="D239" s="668">
        <v>3750</v>
      </c>
      <c r="E239" s="668">
        <v>3750</v>
      </c>
      <c r="F239" s="668">
        <v>0</v>
      </c>
      <c r="G239" s="669">
        <f t="shared" si="69"/>
        <v>0</v>
      </c>
      <c r="H239" s="669">
        <f t="shared" si="70"/>
        <v>0</v>
      </c>
    </row>
    <row r="240" spans="1:8" x14ac:dyDescent="0.25">
      <c r="A240" s="41">
        <v>32323</v>
      </c>
      <c r="B240" s="42" t="s">
        <v>412</v>
      </c>
      <c r="C240" s="668">
        <v>0</v>
      </c>
      <c r="D240" s="668">
        <f>17917.58-D238-D239</f>
        <v>3167.5800000000017</v>
      </c>
      <c r="E240" s="668">
        <v>3167.5800000000017</v>
      </c>
      <c r="F240" s="668">
        <v>0</v>
      </c>
      <c r="G240" s="669">
        <f t="shared" si="69"/>
        <v>0</v>
      </c>
      <c r="H240" s="669">
        <f t="shared" si="70"/>
        <v>0</v>
      </c>
    </row>
    <row r="241" spans="1:8" hidden="1" x14ac:dyDescent="0.25">
      <c r="A241" s="39" t="s">
        <v>132</v>
      </c>
      <c r="B241" s="40" t="s">
        <v>133</v>
      </c>
      <c r="C241" s="671"/>
      <c r="D241" s="671"/>
      <c r="E241" s="671"/>
      <c r="F241" s="671"/>
      <c r="G241" s="672">
        <f t="shared" si="69"/>
        <v>0</v>
      </c>
      <c r="H241" s="672">
        <f t="shared" si="70"/>
        <v>0</v>
      </c>
    </row>
    <row r="242" spans="1:8" hidden="1" x14ac:dyDescent="0.25">
      <c r="A242" s="39" t="s">
        <v>134</v>
      </c>
      <c r="B242" s="40" t="s">
        <v>135</v>
      </c>
      <c r="C242" s="671"/>
      <c r="D242" s="671"/>
      <c r="E242" s="671"/>
      <c r="F242" s="671"/>
      <c r="G242" s="672">
        <f t="shared" si="69"/>
        <v>0</v>
      </c>
      <c r="H242" s="672">
        <f t="shared" si="70"/>
        <v>0</v>
      </c>
    </row>
    <row r="243" spans="1:8" hidden="1" x14ac:dyDescent="0.25">
      <c r="A243" s="39" t="s">
        <v>216</v>
      </c>
      <c r="B243" s="40" t="s">
        <v>136</v>
      </c>
      <c r="C243" s="671"/>
      <c r="D243" s="671"/>
      <c r="E243" s="671"/>
      <c r="F243" s="671"/>
      <c r="G243" s="672">
        <f t="shared" si="69"/>
        <v>0</v>
      </c>
      <c r="H243" s="672">
        <f t="shared" si="70"/>
        <v>0</v>
      </c>
    </row>
    <row r="244" spans="1:8" x14ac:dyDescent="0.25">
      <c r="A244" s="39" t="s">
        <v>217</v>
      </c>
      <c r="B244" s="40" t="s">
        <v>137</v>
      </c>
      <c r="C244" s="671">
        <f>SUM(C245)</f>
        <v>2654.46</v>
      </c>
      <c r="D244" s="671">
        <f>SUM(D245)</f>
        <v>2654.46</v>
      </c>
      <c r="E244" s="671">
        <f>SUM(E245)</f>
        <v>2654.46</v>
      </c>
      <c r="F244" s="671">
        <f t="shared" ref="F244" si="84">SUM(F245)</f>
        <v>2654.46</v>
      </c>
      <c r="G244" s="672">
        <f t="shared" si="69"/>
        <v>100</v>
      </c>
      <c r="H244" s="672">
        <f t="shared" si="70"/>
        <v>100</v>
      </c>
    </row>
    <row r="245" spans="1:8" x14ac:dyDescent="0.25">
      <c r="A245" s="41" t="s">
        <v>498</v>
      </c>
      <c r="B245" s="42" t="s">
        <v>421</v>
      </c>
      <c r="C245" s="668">
        <v>2654.46</v>
      </c>
      <c r="D245" s="668">
        <v>2654.46</v>
      </c>
      <c r="E245" s="668">
        <v>2654.46</v>
      </c>
      <c r="F245" s="668">
        <v>2654.46</v>
      </c>
      <c r="G245" s="669">
        <f t="shared" si="69"/>
        <v>100</v>
      </c>
      <c r="H245" s="669">
        <f t="shared" si="70"/>
        <v>100</v>
      </c>
    </row>
    <row r="246" spans="1:8" x14ac:dyDescent="0.25">
      <c r="A246" s="39" t="s">
        <v>218</v>
      </c>
      <c r="B246" s="40" t="s">
        <v>138</v>
      </c>
      <c r="C246" s="671">
        <f>SUM(C247)</f>
        <v>4645.3</v>
      </c>
      <c r="D246" s="671">
        <f>SUM(D247)</f>
        <v>4645.3</v>
      </c>
      <c r="E246" s="671">
        <f>SUM(E247)</f>
        <v>4645.3</v>
      </c>
      <c r="F246" s="671">
        <f t="shared" ref="F246" si="85">SUM(F247)</f>
        <v>4645.3</v>
      </c>
      <c r="G246" s="672">
        <f t="shared" si="69"/>
        <v>100</v>
      </c>
      <c r="H246" s="672">
        <f t="shared" si="70"/>
        <v>100</v>
      </c>
    </row>
    <row r="247" spans="1:8" x14ac:dyDescent="0.25">
      <c r="A247" s="41" t="s">
        <v>499</v>
      </c>
      <c r="B247" s="42" t="s">
        <v>422</v>
      </c>
      <c r="C247" s="668">
        <v>4645.3</v>
      </c>
      <c r="D247" s="668">
        <v>4645.3</v>
      </c>
      <c r="E247" s="668">
        <v>4645.3</v>
      </c>
      <c r="F247" s="668">
        <v>4645.3</v>
      </c>
      <c r="G247" s="669">
        <f t="shared" si="69"/>
        <v>100</v>
      </c>
      <c r="H247" s="669">
        <f t="shared" si="70"/>
        <v>100</v>
      </c>
    </row>
    <row r="248" spans="1:8" hidden="1" x14ac:dyDescent="0.25">
      <c r="A248" s="39" t="s">
        <v>139</v>
      </c>
      <c r="B248" s="40" t="s">
        <v>140</v>
      </c>
      <c r="C248" s="671"/>
      <c r="D248" s="671"/>
      <c r="E248" s="671"/>
      <c r="F248" s="671"/>
      <c r="G248" s="672">
        <f t="shared" si="69"/>
        <v>0</v>
      </c>
      <c r="H248" s="672">
        <f t="shared" si="70"/>
        <v>0</v>
      </c>
    </row>
    <row r="249" spans="1:8" x14ac:dyDescent="0.25">
      <c r="A249" s="39" t="s">
        <v>141</v>
      </c>
      <c r="B249" s="40" t="s">
        <v>142</v>
      </c>
      <c r="C249" s="671">
        <f>SUM(C250)</f>
        <v>2150.0700000000002</v>
      </c>
      <c r="D249" s="671">
        <f>SUM(D250)</f>
        <v>3318.07</v>
      </c>
      <c r="E249" s="671">
        <f>SUM(E250)</f>
        <v>3318.07</v>
      </c>
      <c r="F249" s="671">
        <f>SUM(F250)</f>
        <v>3318.07</v>
      </c>
      <c r="G249" s="672">
        <f t="shared" si="69"/>
        <v>100</v>
      </c>
      <c r="H249" s="672">
        <f t="shared" si="70"/>
        <v>100</v>
      </c>
    </row>
    <row r="250" spans="1:8" x14ac:dyDescent="0.25">
      <c r="A250" s="41" t="s">
        <v>500</v>
      </c>
      <c r="B250" s="42" t="s">
        <v>305</v>
      </c>
      <c r="C250" s="668">
        <v>2150.0700000000002</v>
      </c>
      <c r="D250" s="668">
        <v>3318.07</v>
      </c>
      <c r="E250" s="668">
        <v>3318.07</v>
      </c>
      <c r="F250" s="668">
        <v>3318.07</v>
      </c>
      <c r="G250" s="669">
        <f t="shared" si="69"/>
        <v>100</v>
      </c>
      <c r="H250" s="669">
        <f t="shared" si="70"/>
        <v>100</v>
      </c>
    </row>
    <row r="251" spans="1:8" x14ac:dyDescent="0.25">
      <c r="A251" s="39" t="s">
        <v>609</v>
      </c>
      <c r="B251" s="40" t="s">
        <v>127</v>
      </c>
      <c r="C251" s="671">
        <f>C252</f>
        <v>0</v>
      </c>
      <c r="D251" s="671">
        <f>D252</f>
        <v>0</v>
      </c>
      <c r="E251" s="671">
        <f t="shared" ref="E251:F251" si="86">E252</f>
        <v>29954.21</v>
      </c>
      <c r="F251" s="671">
        <f t="shared" si="86"/>
        <v>24209.88</v>
      </c>
      <c r="G251" s="672">
        <f t="shared" si="69"/>
        <v>24209.88</v>
      </c>
      <c r="H251" s="672">
        <f t="shared" si="70"/>
        <v>80.82296278219323</v>
      </c>
    </row>
    <row r="252" spans="1:8" x14ac:dyDescent="0.25">
      <c r="A252" s="39" t="s">
        <v>610</v>
      </c>
      <c r="B252" s="40" t="s">
        <v>142</v>
      </c>
      <c r="C252" s="671">
        <f>C253+C254</f>
        <v>0</v>
      </c>
      <c r="D252" s="671">
        <f>D253+D254</f>
        <v>0</v>
      </c>
      <c r="E252" s="671">
        <f t="shared" ref="E252:F252" si="87">E253+E254</f>
        <v>29954.21</v>
      </c>
      <c r="F252" s="671">
        <f t="shared" si="87"/>
        <v>24209.88</v>
      </c>
      <c r="G252" s="672">
        <f t="shared" si="69"/>
        <v>24209.88</v>
      </c>
      <c r="H252" s="672">
        <f t="shared" si="70"/>
        <v>80.82296278219323</v>
      </c>
    </row>
    <row r="253" spans="1:8" x14ac:dyDescent="0.25">
      <c r="A253" s="41" t="s">
        <v>611</v>
      </c>
      <c r="B253" s="42" t="s">
        <v>613</v>
      </c>
      <c r="C253" s="668"/>
      <c r="D253" s="668"/>
      <c r="E253" s="668">
        <v>7954.21</v>
      </c>
      <c r="F253" s="668">
        <v>5642.52</v>
      </c>
      <c r="G253" s="669">
        <f t="shared" si="69"/>
        <v>5642.52</v>
      </c>
      <c r="H253" s="669">
        <f t="shared" si="70"/>
        <v>70.937528679780897</v>
      </c>
    </row>
    <row r="254" spans="1:8" x14ac:dyDescent="0.25">
      <c r="A254" s="41" t="s">
        <v>612</v>
      </c>
      <c r="B254" s="42" t="s">
        <v>614</v>
      </c>
      <c r="C254" s="668"/>
      <c r="D254" s="668"/>
      <c r="E254" s="668">
        <v>22000</v>
      </c>
      <c r="F254" s="668">
        <v>18567.36</v>
      </c>
      <c r="G254" s="669">
        <f t="shared" si="69"/>
        <v>18567.36</v>
      </c>
      <c r="H254" s="669">
        <f t="shared" si="70"/>
        <v>84.397090909090906</v>
      </c>
    </row>
    <row r="255" spans="1:8" s="663" customFormat="1" x14ac:dyDescent="0.25">
      <c r="A255" s="39" t="s">
        <v>219</v>
      </c>
      <c r="B255" s="40" t="s">
        <v>144</v>
      </c>
      <c r="C255" s="665">
        <f>C256+C258+C259+C260+C261+C262</f>
        <v>2654.46</v>
      </c>
      <c r="D255" s="665">
        <f>D256+D258+D259+D260+D261+D262</f>
        <v>2654.46</v>
      </c>
      <c r="E255" s="665">
        <f>E256+E258+E259+E260+E261+E262</f>
        <v>2654.46</v>
      </c>
      <c r="F255" s="665">
        <f>F256+F258+F259+F260+F261+F262</f>
        <v>2654.46</v>
      </c>
      <c r="G255" s="666">
        <f t="shared" si="69"/>
        <v>100</v>
      </c>
      <c r="H255" s="666">
        <f t="shared" si="70"/>
        <v>100</v>
      </c>
    </row>
    <row r="256" spans="1:8" s="663" customFormat="1" x14ac:dyDescent="0.25">
      <c r="A256" s="39" t="s">
        <v>231</v>
      </c>
      <c r="B256" s="40" t="s">
        <v>147</v>
      </c>
      <c r="C256" s="665">
        <f>SUM(C257)</f>
        <v>2654.46</v>
      </c>
      <c r="D256" s="665">
        <f>SUM(D257)</f>
        <v>2654.46</v>
      </c>
      <c r="E256" s="665">
        <f>SUM(E257)</f>
        <v>2654.46</v>
      </c>
      <c r="F256" s="665">
        <f t="shared" ref="F256" si="88">SUM(F257)</f>
        <v>2654.46</v>
      </c>
      <c r="G256" s="666">
        <f t="shared" si="69"/>
        <v>100</v>
      </c>
      <c r="H256" s="666">
        <f t="shared" si="70"/>
        <v>100</v>
      </c>
    </row>
    <row r="257" spans="1:8" x14ac:dyDescent="0.25">
      <c r="A257" s="41" t="s">
        <v>501</v>
      </c>
      <c r="B257" s="42" t="s">
        <v>502</v>
      </c>
      <c r="C257" s="668">
        <v>2654.46</v>
      </c>
      <c r="D257" s="668">
        <v>2654.46</v>
      </c>
      <c r="E257" s="668">
        <v>2654.46</v>
      </c>
      <c r="F257" s="683">
        <v>2654.46</v>
      </c>
      <c r="G257" s="684">
        <f t="shared" si="69"/>
        <v>100</v>
      </c>
      <c r="H257" s="727">
        <f t="shared" si="70"/>
        <v>100</v>
      </c>
    </row>
    <row r="258" spans="1:8" hidden="1" x14ac:dyDescent="0.25">
      <c r="A258" s="39" t="s">
        <v>221</v>
      </c>
      <c r="B258" s="40" t="s">
        <v>148</v>
      </c>
      <c r="C258" s="671"/>
      <c r="D258" s="671"/>
      <c r="E258" s="671"/>
      <c r="F258" s="671"/>
      <c r="G258" s="672">
        <f t="shared" si="69"/>
        <v>0</v>
      </c>
      <c r="H258" s="672">
        <f t="shared" si="70"/>
        <v>0</v>
      </c>
    </row>
    <row r="259" spans="1:8" hidden="1" x14ac:dyDescent="0.25">
      <c r="A259" s="39" t="s">
        <v>323</v>
      </c>
      <c r="B259" s="40" t="s">
        <v>149</v>
      </c>
      <c r="C259" s="671"/>
      <c r="D259" s="671"/>
      <c r="E259" s="671"/>
      <c r="F259" s="671"/>
      <c r="G259" s="672">
        <f t="shared" si="69"/>
        <v>0</v>
      </c>
      <c r="H259" s="672">
        <f t="shared" si="70"/>
        <v>0</v>
      </c>
    </row>
    <row r="260" spans="1:8" hidden="1" x14ac:dyDescent="0.25">
      <c r="A260" s="39" t="s">
        <v>222</v>
      </c>
      <c r="B260" s="40" t="s">
        <v>150</v>
      </c>
      <c r="C260" s="671"/>
      <c r="D260" s="671"/>
      <c r="E260" s="671"/>
      <c r="F260" s="671"/>
      <c r="G260" s="672">
        <f t="shared" si="69"/>
        <v>0</v>
      </c>
      <c r="H260" s="672">
        <f t="shared" si="70"/>
        <v>0</v>
      </c>
    </row>
    <row r="261" spans="1:8" hidden="1" x14ac:dyDescent="0.25">
      <c r="A261" s="39" t="s">
        <v>324</v>
      </c>
      <c r="B261" s="40" t="s">
        <v>151</v>
      </c>
      <c r="C261" s="671"/>
      <c r="D261" s="671"/>
      <c r="E261" s="671"/>
      <c r="F261" s="671"/>
      <c r="G261" s="672">
        <f t="shared" si="69"/>
        <v>0</v>
      </c>
      <c r="H261" s="672">
        <f t="shared" si="70"/>
        <v>0</v>
      </c>
    </row>
    <row r="262" spans="1:8" hidden="1" x14ac:dyDescent="0.25">
      <c r="A262" s="39" t="s">
        <v>152</v>
      </c>
      <c r="B262" s="40" t="s">
        <v>144</v>
      </c>
      <c r="C262" s="671"/>
      <c r="D262" s="671"/>
      <c r="E262" s="671"/>
      <c r="F262" s="671"/>
      <c r="G262" s="672">
        <f t="shared" si="69"/>
        <v>0</v>
      </c>
      <c r="H262" s="672">
        <f t="shared" si="70"/>
        <v>0</v>
      </c>
    </row>
    <row r="263" spans="1:8" hidden="1" x14ac:dyDescent="0.25">
      <c r="A263" s="746" t="s">
        <v>325</v>
      </c>
      <c r="B263" s="751" t="s">
        <v>153</v>
      </c>
      <c r="C263" s="748">
        <f>C264</f>
        <v>0</v>
      </c>
      <c r="D263" s="748">
        <f>D264</f>
        <v>0</v>
      </c>
      <c r="E263" s="748">
        <f>E264</f>
        <v>0</v>
      </c>
      <c r="F263" s="748">
        <f t="shared" ref="F263" si="89">F264</f>
        <v>0</v>
      </c>
      <c r="G263" s="749">
        <f t="shared" ref="G263:G326" si="90">IFERROR(F263/D263*100,F263)</f>
        <v>0</v>
      </c>
      <c r="H263" s="749">
        <f t="shared" ref="H263:H326" si="91">IFERROR(F263/E263*100,F263)</f>
        <v>0</v>
      </c>
    </row>
    <row r="264" spans="1:8" s="663" customFormat="1" hidden="1" x14ac:dyDescent="0.25">
      <c r="A264" s="39" t="s">
        <v>326</v>
      </c>
      <c r="B264" s="40" t="s">
        <v>157</v>
      </c>
      <c r="C264" s="665">
        <f>SUM(C265:C268)</f>
        <v>0</v>
      </c>
      <c r="D264" s="665">
        <f>SUM(D265:D268)</f>
        <v>0</v>
      </c>
      <c r="E264" s="665">
        <f>SUM(E265:E268)</f>
        <v>0</v>
      </c>
      <c r="F264" s="665">
        <f t="shared" ref="F264" si="92">SUM(F265:F268)</f>
        <v>0</v>
      </c>
      <c r="G264" s="666">
        <f t="shared" si="90"/>
        <v>0</v>
      </c>
      <c r="H264" s="666">
        <f t="shared" si="91"/>
        <v>0</v>
      </c>
    </row>
    <row r="265" spans="1:8" hidden="1" x14ac:dyDescent="0.25">
      <c r="A265" s="41" t="s">
        <v>155</v>
      </c>
      <c r="B265" s="42" t="s">
        <v>156</v>
      </c>
      <c r="C265" s="668"/>
      <c r="D265" s="668"/>
      <c r="E265" s="668"/>
      <c r="F265" s="668"/>
      <c r="G265" s="669">
        <f t="shared" si="90"/>
        <v>0</v>
      </c>
      <c r="H265" s="669">
        <f t="shared" si="91"/>
        <v>0</v>
      </c>
    </row>
    <row r="266" spans="1:8" hidden="1" x14ac:dyDescent="0.25">
      <c r="A266" s="41" t="s">
        <v>327</v>
      </c>
      <c r="B266" s="42" t="s">
        <v>205</v>
      </c>
      <c r="C266" s="668"/>
      <c r="D266" s="668"/>
      <c r="E266" s="668"/>
      <c r="F266" s="668"/>
      <c r="G266" s="669">
        <f t="shared" si="90"/>
        <v>0</v>
      </c>
      <c r="H266" s="669">
        <f t="shared" si="91"/>
        <v>0</v>
      </c>
    </row>
    <row r="267" spans="1:8" hidden="1" x14ac:dyDescent="0.25">
      <c r="A267" s="41" t="s">
        <v>328</v>
      </c>
      <c r="B267" s="42" t="s">
        <v>157</v>
      </c>
      <c r="C267" s="668"/>
      <c r="D267" s="668"/>
      <c r="E267" s="668"/>
      <c r="F267" s="668"/>
      <c r="G267" s="669">
        <f t="shared" si="90"/>
        <v>0</v>
      </c>
      <c r="H267" s="669">
        <f t="shared" si="91"/>
        <v>0</v>
      </c>
    </row>
    <row r="268" spans="1:8" hidden="1" x14ac:dyDescent="0.25">
      <c r="A268" s="41" t="s">
        <v>329</v>
      </c>
      <c r="B268" s="42" t="s">
        <v>154</v>
      </c>
      <c r="C268" s="668"/>
      <c r="D268" s="668"/>
      <c r="E268" s="668"/>
      <c r="F268" s="668"/>
      <c r="G268" s="669">
        <f t="shared" si="90"/>
        <v>0</v>
      </c>
      <c r="H268" s="669">
        <f t="shared" si="91"/>
        <v>0</v>
      </c>
    </row>
    <row r="269" spans="1:8" s="663" customFormat="1" hidden="1" x14ac:dyDescent="0.25">
      <c r="A269" s="746" t="s">
        <v>330</v>
      </c>
      <c r="B269" s="751" t="s">
        <v>318</v>
      </c>
      <c r="C269" s="748">
        <f t="shared" ref="C269:F270" si="93">C270</f>
        <v>0</v>
      </c>
      <c r="D269" s="748">
        <f t="shared" si="93"/>
        <v>0</v>
      </c>
      <c r="E269" s="748">
        <f t="shared" si="93"/>
        <v>0</v>
      </c>
      <c r="F269" s="748">
        <f t="shared" si="93"/>
        <v>0</v>
      </c>
      <c r="G269" s="749">
        <f t="shared" si="90"/>
        <v>0</v>
      </c>
      <c r="H269" s="749">
        <f t="shared" si="91"/>
        <v>0</v>
      </c>
    </row>
    <row r="270" spans="1:8" s="663" customFormat="1" hidden="1" x14ac:dyDescent="0.25">
      <c r="A270" s="39" t="s">
        <v>331</v>
      </c>
      <c r="B270" s="40" t="s">
        <v>163</v>
      </c>
      <c r="C270" s="665">
        <f t="shared" si="93"/>
        <v>0</v>
      </c>
      <c r="D270" s="665">
        <f t="shared" si="93"/>
        <v>0</v>
      </c>
      <c r="E270" s="665">
        <f t="shared" si="93"/>
        <v>0</v>
      </c>
      <c r="F270" s="665">
        <f t="shared" si="93"/>
        <v>0</v>
      </c>
      <c r="G270" s="666">
        <f t="shared" si="90"/>
        <v>0</v>
      </c>
      <c r="H270" s="666">
        <f t="shared" si="91"/>
        <v>0</v>
      </c>
    </row>
    <row r="271" spans="1:8" hidden="1" x14ac:dyDescent="0.25">
      <c r="A271" s="41" t="s">
        <v>332</v>
      </c>
      <c r="B271" s="42" t="s">
        <v>164</v>
      </c>
      <c r="C271" s="668"/>
      <c r="D271" s="668"/>
      <c r="E271" s="668"/>
      <c r="F271" s="668"/>
      <c r="G271" s="669">
        <f t="shared" si="90"/>
        <v>0</v>
      </c>
      <c r="H271" s="669">
        <f t="shared" si="91"/>
        <v>0</v>
      </c>
    </row>
    <row r="272" spans="1:8" s="663" customFormat="1" hidden="1" x14ac:dyDescent="0.25">
      <c r="A272" s="746" t="s">
        <v>165</v>
      </c>
      <c r="B272" s="751" t="s">
        <v>98</v>
      </c>
      <c r="C272" s="748">
        <f>C273+C275+C278</f>
        <v>0</v>
      </c>
      <c r="D272" s="748">
        <f>D273+D275+D278</f>
        <v>0</v>
      </c>
      <c r="E272" s="748">
        <f>E273+E275+E278</f>
        <v>0</v>
      </c>
      <c r="F272" s="748">
        <f t="shared" ref="F272" si="94">F273+F275+F278</f>
        <v>0</v>
      </c>
      <c r="G272" s="749">
        <f t="shared" si="90"/>
        <v>0</v>
      </c>
      <c r="H272" s="749">
        <f t="shared" si="91"/>
        <v>0</v>
      </c>
    </row>
    <row r="273" spans="1:8" s="663" customFormat="1" hidden="1" x14ac:dyDescent="0.25">
      <c r="A273" s="39" t="s">
        <v>166</v>
      </c>
      <c r="B273" s="40" t="s">
        <v>68</v>
      </c>
      <c r="C273" s="665">
        <f>C274</f>
        <v>0</v>
      </c>
      <c r="D273" s="665">
        <f>D274</f>
        <v>0</v>
      </c>
      <c r="E273" s="665">
        <f>E274</f>
        <v>0</v>
      </c>
      <c r="F273" s="665">
        <f t="shared" ref="F273" si="95">F274</f>
        <v>0</v>
      </c>
      <c r="G273" s="666">
        <f t="shared" si="90"/>
        <v>0</v>
      </c>
      <c r="H273" s="666">
        <f t="shared" si="91"/>
        <v>0</v>
      </c>
    </row>
    <row r="274" spans="1:8" hidden="1" x14ac:dyDescent="0.25">
      <c r="A274" s="41" t="s">
        <v>168</v>
      </c>
      <c r="B274" s="42" t="s">
        <v>167</v>
      </c>
      <c r="C274" s="668"/>
      <c r="D274" s="668"/>
      <c r="E274" s="668"/>
      <c r="F274" s="668"/>
      <c r="G274" s="669">
        <f t="shared" si="90"/>
        <v>0</v>
      </c>
      <c r="H274" s="669">
        <f t="shared" si="91"/>
        <v>0</v>
      </c>
    </row>
    <row r="275" spans="1:8" s="663" customFormat="1" hidden="1" x14ac:dyDescent="0.25">
      <c r="A275" s="39" t="s">
        <v>333</v>
      </c>
      <c r="B275" s="40" t="s">
        <v>169</v>
      </c>
      <c r="C275" s="665">
        <f>SUM(C276:C277)</f>
        <v>0</v>
      </c>
      <c r="D275" s="665">
        <f>SUM(D276:D277)</f>
        <v>0</v>
      </c>
      <c r="E275" s="665">
        <f>SUM(E276:E277)</f>
        <v>0</v>
      </c>
      <c r="F275" s="665">
        <f t="shared" ref="F275" si="96">SUM(F276:F277)</f>
        <v>0</v>
      </c>
      <c r="G275" s="666">
        <f t="shared" si="90"/>
        <v>0</v>
      </c>
      <c r="H275" s="666">
        <f t="shared" si="91"/>
        <v>0</v>
      </c>
    </row>
    <row r="276" spans="1:8" hidden="1" x14ac:dyDescent="0.25">
      <c r="A276" s="41" t="s">
        <v>334</v>
      </c>
      <c r="B276" s="42" t="s">
        <v>335</v>
      </c>
      <c r="C276" s="668"/>
      <c r="D276" s="668"/>
      <c r="E276" s="668"/>
      <c r="F276" s="668"/>
      <c r="G276" s="669">
        <f t="shared" si="90"/>
        <v>0</v>
      </c>
      <c r="H276" s="669">
        <f t="shared" si="91"/>
        <v>0</v>
      </c>
    </row>
    <row r="277" spans="1:8" hidden="1" x14ac:dyDescent="0.25">
      <c r="A277" s="41" t="s">
        <v>336</v>
      </c>
      <c r="B277" s="42" t="s">
        <v>173</v>
      </c>
      <c r="C277" s="668"/>
      <c r="D277" s="668"/>
      <c r="E277" s="668"/>
      <c r="F277" s="668"/>
      <c r="G277" s="669">
        <f t="shared" si="90"/>
        <v>0</v>
      </c>
      <c r="H277" s="669">
        <f t="shared" si="91"/>
        <v>0</v>
      </c>
    </row>
    <row r="278" spans="1:8" s="663" customFormat="1" hidden="1" x14ac:dyDescent="0.25">
      <c r="A278" s="39" t="s">
        <v>337</v>
      </c>
      <c r="B278" s="40" t="s">
        <v>338</v>
      </c>
      <c r="C278" s="671">
        <f>C279</f>
        <v>0</v>
      </c>
      <c r="D278" s="671">
        <f>D279</f>
        <v>0</v>
      </c>
      <c r="E278" s="671">
        <f>E279</f>
        <v>0</v>
      </c>
      <c r="F278" s="671">
        <f t="shared" ref="F278" si="97">F279</f>
        <v>0</v>
      </c>
      <c r="G278" s="672">
        <f t="shared" si="90"/>
        <v>0</v>
      </c>
      <c r="H278" s="672">
        <f t="shared" si="91"/>
        <v>0</v>
      </c>
    </row>
    <row r="279" spans="1:8" hidden="1" x14ac:dyDescent="0.25">
      <c r="A279" s="41" t="s">
        <v>339</v>
      </c>
      <c r="B279" s="42" t="s">
        <v>340</v>
      </c>
      <c r="C279" s="698"/>
      <c r="D279" s="698"/>
      <c r="E279" s="698"/>
      <c r="F279" s="698"/>
      <c r="G279" s="699">
        <f t="shared" si="90"/>
        <v>0</v>
      </c>
      <c r="H279" s="699">
        <f t="shared" si="91"/>
        <v>0</v>
      </c>
    </row>
    <row r="280" spans="1:8" s="663" customFormat="1" hidden="1" x14ac:dyDescent="0.25">
      <c r="A280" s="762" t="s">
        <v>341</v>
      </c>
      <c r="B280" s="763" t="s">
        <v>174</v>
      </c>
      <c r="C280" s="736">
        <f>C281+C284</f>
        <v>0</v>
      </c>
      <c r="D280" s="736">
        <f>D281+D284</f>
        <v>0</v>
      </c>
      <c r="E280" s="736">
        <f>E281+E284</f>
        <v>0</v>
      </c>
      <c r="F280" s="736">
        <f t="shared" ref="F280" si="98">F281+F284</f>
        <v>0</v>
      </c>
      <c r="G280" s="737">
        <f t="shared" si="90"/>
        <v>0</v>
      </c>
      <c r="H280" s="737">
        <f t="shared" si="91"/>
        <v>0</v>
      </c>
    </row>
    <row r="281" spans="1:8" s="663" customFormat="1" hidden="1" x14ac:dyDescent="0.25">
      <c r="A281" s="746" t="s">
        <v>175</v>
      </c>
      <c r="B281" s="751" t="s">
        <v>176</v>
      </c>
      <c r="C281" s="748">
        <f t="shared" ref="C281:F282" si="99">C282</f>
        <v>0</v>
      </c>
      <c r="D281" s="748">
        <f t="shared" si="99"/>
        <v>0</v>
      </c>
      <c r="E281" s="748">
        <f t="shared" si="99"/>
        <v>0</v>
      </c>
      <c r="F281" s="748">
        <f t="shared" si="99"/>
        <v>0</v>
      </c>
      <c r="G281" s="749">
        <f t="shared" si="90"/>
        <v>0</v>
      </c>
      <c r="H281" s="749">
        <f t="shared" si="91"/>
        <v>0</v>
      </c>
    </row>
    <row r="282" spans="1:8" s="663" customFormat="1" hidden="1" x14ac:dyDescent="0.25">
      <c r="A282" s="39" t="s">
        <v>342</v>
      </c>
      <c r="B282" s="40" t="s">
        <v>181</v>
      </c>
      <c r="C282" s="665">
        <f t="shared" si="99"/>
        <v>0</v>
      </c>
      <c r="D282" s="665">
        <f t="shared" si="99"/>
        <v>0</v>
      </c>
      <c r="E282" s="665">
        <f t="shared" si="99"/>
        <v>0</v>
      </c>
      <c r="F282" s="665">
        <f t="shared" si="99"/>
        <v>0</v>
      </c>
      <c r="G282" s="666">
        <f t="shared" si="90"/>
        <v>0</v>
      </c>
      <c r="H282" s="666">
        <f t="shared" si="91"/>
        <v>0</v>
      </c>
    </row>
    <row r="283" spans="1:8" hidden="1" x14ac:dyDescent="0.25">
      <c r="A283" s="41" t="s">
        <v>343</v>
      </c>
      <c r="B283" s="42" t="s">
        <v>182</v>
      </c>
      <c r="C283" s="673"/>
      <c r="D283" s="673"/>
      <c r="E283" s="673"/>
      <c r="F283" s="673"/>
      <c r="G283" s="675">
        <f t="shared" si="90"/>
        <v>0</v>
      </c>
      <c r="H283" s="675">
        <f t="shared" si="91"/>
        <v>0</v>
      </c>
    </row>
    <row r="284" spans="1:8" s="663" customFormat="1" hidden="1" x14ac:dyDescent="0.25">
      <c r="A284" s="746" t="s">
        <v>344</v>
      </c>
      <c r="B284" s="751" t="s">
        <v>183</v>
      </c>
      <c r="C284" s="748">
        <f>C285+C287+C296</f>
        <v>0</v>
      </c>
      <c r="D284" s="748">
        <f>D285+D287+D296</f>
        <v>0</v>
      </c>
      <c r="E284" s="748">
        <f>E285+E287+E296</f>
        <v>0</v>
      </c>
      <c r="F284" s="748">
        <f t="shared" ref="F284" si="100">F285+F287+F296</f>
        <v>0</v>
      </c>
      <c r="G284" s="749">
        <f t="shared" si="90"/>
        <v>0</v>
      </c>
      <c r="H284" s="749">
        <f t="shared" si="91"/>
        <v>0</v>
      </c>
    </row>
    <row r="285" spans="1:8" s="663" customFormat="1" hidden="1" x14ac:dyDescent="0.25">
      <c r="A285" s="39" t="s">
        <v>206</v>
      </c>
      <c r="B285" s="40" t="s">
        <v>207</v>
      </c>
      <c r="C285" s="665">
        <f>C286</f>
        <v>0</v>
      </c>
      <c r="D285" s="665">
        <f>D286</f>
        <v>0</v>
      </c>
      <c r="E285" s="665">
        <f>E286</f>
        <v>0</v>
      </c>
      <c r="F285" s="665">
        <f t="shared" ref="F285" si="101">F286</f>
        <v>0</v>
      </c>
      <c r="G285" s="666">
        <f t="shared" si="90"/>
        <v>0</v>
      </c>
      <c r="H285" s="666">
        <f t="shared" si="91"/>
        <v>0</v>
      </c>
    </row>
    <row r="286" spans="1:8" hidden="1" x14ac:dyDescent="0.25">
      <c r="A286" s="41" t="s">
        <v>208</v>
      </c>
      <c r="B286" s="42" t="s">
        <v>209</v>
      </c>
      <c r="C286" s="673"/>
      <c r="D286" s="673"/>
      <c r="E286" s="673"/>
      <c r="F286" s="673"/>
      <c r="G286" s="675">
        <f t="shared" si="90"/>
        <v>0</v>
      </c>
      <c r="H286" s="675">
        <f t="shared" si="91"/>
        <v>0</v>
      </c>
    </row>
    <row r="287" spans="1:8" s="663" customFormat="1" hidden="1" x14ac:dyDescent="0.25">
      <c r="A287" s="39" t="s">
        <v>223</v>
      </c>
      <c r="B287" s="40" t="s">
        <v>184</v>
      </c>
      <c r="C287" s="665">
        <f>SUM(C288:C293)</f>
        <v>0</v>
      </c>
      <c r="D287" s="665">
        <f>SUM(D288:D293)</f>
        <v>0</v>
      </c>
      <c r="E287" s="665">
        <f>SUM(E288:E293)</f>
        <v>0</v>
      </c>
      <c r="F287" s="665">
        <f t="shared" ref="F287" si="102">SUM(F288:F293)</f>
        <v>0</v>
      </c>
      <c r="G287" s="666">
        <f t="shared" si="90"/>
        <v>0</v>
      </c>
      <c r="H287" s="666">
        <f t="shared" si="91"/>
        <v>0</v>
      </c>
    </row>
    <row r="288" spans="1:8" hidden="1" x14ac:dyDescent="0.25">
      <c r="A288" s="41" t="s">
        <v>185</v>
      </c>
      <c r="B288" s="42" t="s">
        <v>186</v>
      </c>
      <c r="C288" s="668"/>
      <c r="D288" s="668"/>
      <c r="E288" s="668"/>
      <c r="F288" s="668"/>
      <c r="G288" s="669">
        <f t="shared" si="90"/>
        <v>0</v>
      </c>
      <c r="H288" s="669">
        <f t="shared" si="91"/>
        <v>0</v>
      </c>
    </row>
    <row r="289" spans="1:8" hidden="1" x14ac:dyDescent="0.25">
      <c r="A289" s="41" t="s">
        <v>187</v>
      </c>
      <c r="B289" s="42" t="s">
        <v>188</v>
      </c>
      <c r="C289" s="668"/>
      <c r="D289" s="668"/>
      <c r="E289" s="668"/>
      <c r="F289" s="668"/>
      <c r="G289" s="669">
        <f t="shared" si="90"/>
        <v>0</v>
      </c>
      <c r="H289" s="669">
        <f t="shared" si="91"/>
        <v>0</v>
      </c>
    </row>
    <row r="290" spans="1:8" hidden="1" x14ac:dyDescent="0.25">
      <c r="A290" s="41" t="s">
        <v>228</v>
      </c>
      <c r="B290" s="42" t="s">
        <v>189</v>
      </c>
      <c r="C290" s="668"/>
      <c r="D290" s="668"/>
      <c r="E290" s="668"/>
      <c r="F290" s="668"/>
      <c r="G290" s="669">
        <f t="shared" si="90"/>
        <v>0</v>
      </c>
      <c r="H290" s="669">
        <f t="shared" si="91"/>
        <v>0</v>
      </c>
    </row>
    <row r="291" spans="1:8" hidden="1" x14ac:dyDescent="0.25">
      <c r="A291" s="41" t="s">
        <v>229</v>
      </c>
      <c r="B291" s="42" t="s">
        <v>190</v>
      </c>
      <c r="C291" s="668"/>
      <c r="D291" s="668"/>
      <c r="E291" s="668"/>
      <c r="F291" s="668"/>
      <c r="G291" s="669">
        <f t="shared" si="90"/>
        <v>0</v>
      </c>
      <c r="H291" s="669">
        <f t="shared" si="91"/>
        <v>0</v>
      </c>
    </row>
    <row r="292" spans="1:8" hidden="1" x14ac:dyDescent="0.25">
      <c r="A292" s="41" t="s">
        <v>230</v>
      </c>
      <c r="B292" s="96" t="s">
        <v>191</v>
      </c>
      <c r="C292" s="668"/>
      <c r="D292" s="668"/>
      <c r="E292" s="668"/>
      <c r="F292" s="668"/>
      <c r="G292" s="669">
        <f t="shared" si="90"/>
        <v>0</v>
      </c>
      <c r="H292" s="669">
        <f t="shared" si="91"/>
        <v>0</v>
      </c>
    </row>
    <row r="293" spans="1:8" hidden="1" x14ac:dyDescent="0.25">
      <c r="A293" s="41" t="s">
        <v>345</v>
      </c>
      <c r="B293" s="42" t="s">
        <v>192</v>
      </c>
      <c r="C293" s="668"/>
      <c r="D293" s="668"/>
      <c r="E293" s="668"/>
      <c r="F293" s="668"/>
      <c r="G293" s="669">
        <f t="shared" si="90"/>
        <v>0</v>
      </c>
      <c r="H293" s="669">
        <f t="shared" si="91"/>
        <v>0</v>
      </c>
    </row>
    <row r="294" spans="1:8" hidden="1" x14ac:dyDescent="0.25">
      <c r="A294" s="39" t="s">
        <v>346</v>
      </c>
      <c r="B294" s="95" t="s">
        <v>193</v>
      </c>
      <c r="C294" s="52">
        <f>C295</f>
        <v>0</v>
      </c>
      <c r="D294" s="52">
        <f>D295</f>
        <v>0</v>
      </c>
      <c r="E294" s="52">
        <f>E295</f>
        <v>0</v>
      </c>
      <c r="F294" s="52">
        <f t="shared" ref="F294" si="103">F295</f>
        <v>0</v>
      </c>
      <c r="G294" s="591">
        <f t="shared" si="90"/>
        <v>0</v>
      </c>
      <c r="H294" s="591">
        <f t="shared" si="91"/>
        <v>0</v>
      </c>
    </row>
    <row r="295" spans="1:8" hidden="1" x14ac:dyDescent="0.25">
      <c r="A295" s="41" t="s">
        <v>347</v>
      </c>
      <c r="B295" s="96" t="s">
        <v>193</v>
      </c>
      <c r="C295" s="668"/>
      <c r="D295" s="668"/>
      <c r="E295" s="668"/>
      <c r="F295" s="668"/>
      <c r="G295" s="669">
        <f t="shared" si="90"/>
        <v>0</v>
      </c>
      <c r="H295" s="669">
        <f t="shared" si="91"/>
        <v>0</v>
      </c>
    </row>
    <row r="296" spans="1:8" s="663" customFormat="1" hidden="1" x14ac:dyDescent="0.25">
      <c r="A296" s="39" t="s">
        <v>232</v>
      </c>
      <c r="B296" s="40" t="s">
        <v>302</v>
      </c>
      <c r="C296" s="671">
        <f>C297</f>
        <v>0</v>
      </c>
      <c r="D296" s="671">
        <f>D297</f>
        <v>0</v>
      </c>
      <c r="E296" s="671">
        <f>E297</f>
        <v>0</v>
      </c>
      <c r="F296" s="671">
        <f t="shared" ref="F296" si="104">F297</f>
        <v>0</v>
      </c>
      <c r="G296" s="672">
        <f t="shared" si="90"/>
        <v>0</v>
      </c>
      <c r="H296" s="672">
        <f t="shared" si="91"/>
        <v>0</v>
      </c>
    </row>
    <row r="297" spans="1:8" hidden="1" x14ac:dyDescent="0.25">
      <c r="A297" s="41" t="s">
        <v>233</v>
      </c>
      <c r="B297" s="42" t="s">
        <v>348</v>
      </c>
      <c r="C297" s="668"/>
      <c r="D297" s="668"/>
      <c r="E297" s="668"/>
      <c r="F297" s="668"/>
      <c r="G297" s="669">
        <f t="shared" si="90"/>
        <v>0</v>
      </c>
      <c r="H297" s="669">
        <f t="shared" si="91"/>
        <v>0</v>
      </c>
    </row>
    <row r="298" spans="1:8" x14ac:dyDescent="0.25">
      <c r="A298" s="720">
        <v>52</v>
      </c>
      <c r="B298" s="721" t="s">
        <v>224</v>
      </c>
      <c r="C298" s="724">
        <f>C299+C346</f>
        <v>799.5</v>
      </c>
      <c r="D298" s="724">
        <f>D299+D346</f>
        <v>68314.61</v>
      </c>
      <c r="E298" s="724">
        <f>E299+E346</f>
        <v>68314.61</v>
      </c>
      <c r="F298" s="724">
        <f>F299+F346</f>
        <v>0</v>
      </c>
      <c r="G298" s="725">
        <f t="shared" si="90"/>
        <v>0</v>
      </c>
      <c r="H298" s="725">
        <f t="shared" si="91"/>
        <v>0</v>
      </c>
    </row>
    <row r="299" spans="1:8" s="663" customFormat="1" x14ac:dyDescent="0.25">
      <c r="A299" s="738" t="s">
        <v>86</v>
      </c>
      <c r="B299" s="735" t="s">
        <v>87</v>
      </c>
      <c r="C299" s="736">
        <f>C300+C311+C343</f>
        <v>799.5</v>
      </c>
      <c r="D299" s="736">
        <f>D300+D311+D343</f>
        <v>68314.61</v>
      </c>
      <c r="E299" s="736">
        <f>E300+E311+E343</f>
        <v>68314.61</v>
      </c>
      <c r="F299" s="736">
        <f>F300+F311+F343</f>
        <v>0</v>
      </c>
      <c r="G299" s="737">
        <f t="shared" si="90"/>
        <v>0</v>
      </c>
      <c r="H299" s="737">
        <f t="shared" si="91"/>
        <v>0</v>
      </c>
    </row>
    <row r="300" spans="1:8" s="663" customFormat="1" x14ac:dyDescent="0.25">
      <c r="A300" s="746">
        <v>31</v>
      </c>
      <c r="B300" s="747" t="s">
        <v>88</v>
      </c>
      <c r="C300" s="748">
        <f>C301+C306+C308</f>
        <v>0</v>
      </c>
      <c r="D300" s="748">
        <f>D301+D306+D308</f>
        <v>68314.61</v>
      </c>
      <c r="E300" s="748">
        <f>E301+E306+E308</f>
        <v>68314.61</v>
      </c>
      <c r="F300" s="748">
        <f t="shared" ref="F300" si="105">F301+F306+F308</f>
        <v>0</v>
      </c>
      <c r="G300" s="749">
        <f t="shared" si="90"/>
        <v>0</v>
      </c>
      <c r="H300" s="749">
        <f t="shared" si="91"/>
        <v>0</v>
      </c>
    </row>
    <row r="301" spans="1:8" s="652" customFormat="1" x14ac:dyDescent="0.25">
      <c r="A301" s="39">
        <v>311</v>
      </c>
      <c r="B301" s="40" t="s">
        <v>89</v>
      </c>
      <c r="C301" s="665">
        <f>C302+C304+C305</f>
        <v>0</v>
      </c>
      <c r="D301" s="665">
        <f>D302+D304+D305</f>
        <v>58639.15</v>
      </c>
      <c r="E301" s="665">
        <f>E302+E304+E305</f>
        <v>58639.15</v>
      </c>
      <c r="F301" s="665">
        <f t="shared" ref="F301" si="106">F302+F304+F305</f>
        <v>0</v>
      </c>
      <c r="G301" s="666">
        <f t="shared" si="90"/>
        <v>0</v>
      </c>
      <c r="H301" s="666">
        <f t="shared" si="91"/>
        <v>0</v>
      </c>
    </row>
    <row r="302" spans="1:8" s="652" customFormat="1" x14ac:dyDescent="0.25">
      <c r="A302" s="39">
        <v>3111</v>
      </c>
      <c r="B302" s="40" t="s">
        <v>90</v>
      </c>
      <c r="C302" s="665">
        <f>SUM(C303)</f>
        <v>0</v>
      </c>
      <c r="D302" s="665">
        <f>SUM(D303)</f>
        <v>58639.15</v>
      </c>
      <c r="E302" s="665">
        <f>SUM(E303)</f>
        <v>58639.15</v>
      </c>
      <c r="F302" s="665">
        <f t="shared" ref="F302" si="107">SUM(F303)</f>
        <v>0</v>
      </c>
      <c r="G302" s="666">
        <f t="shared" si="90"/>
        <v>0</v>
      </c>
      <c r="H302" s="666">
        <f t="shared" si="91"/>
        <v>0</v>
      </c>
    </row>
    <row r="303" spans="1:8" x14ac:dyDescent="0.25">
      <c r="A303" s="41" t="s">
        <v>465</v>
      </c>
      <c r="B303" s="42" t="s">
        <v>90</v>
      </c>
      <c r="C303" s="673">
        <v>0</v>
      </c>
      <c r="D303" s="673">
        <v>58639.15</v>
      </c>
      <c r="E303" s="673">
        <v>58639.15</v>
      </c>
      <c r="F303" s="673">
        <v>0</v>
      </c>
      <c r="G303" s="675">
        <f t="shared" si="90"/>
        <v>0</v>
      </c>
      <c r="H303" s="675">
        <f t="shared" si="91"/>
        <v>0</v>
      </c>
    </row>
    <row r="304" spans="1:8" hidden="1" x14ac:dyDescent="0.25">
      <c r="A304" s="41" t="s">
        <v>93</v>
      </c>
      <c r="B304" s="42" t="s">
        <v>94</v>
      </c>
      <c r="C304" s="673"/>
      <c r="D304" s="673"/>
      <c r="E304" s="673"/>
      <c r="F304" s="673"/>
      <c r="G304" s="675">
        <f t="shared" si="90"/>
        <v>0</v>
      </c>
      <c r="H304" s="675">
        <f t="shared" si="91"/>
        <v>0</v>
      </c>
    </row>
    <row r="305" spans="1:8" hidden="1" x14ac:dyDescent="0.25">
      <c r="A305" s="41" t="s">
        <v>95</v>
      </c>
      <c r="B305" s="57" t="s">
        <v>211</v>
      </c>
      <c r="C305" s="673"/>
      <c r="D305" s="673"/>
      <c r="E305" s="673"/>
      <c r="F305" s="673"/>
      <c r="G305" s="675">
        <f t="shared" si="90"/>
        <v>0</v>
      </c>
      <c r="H305" s="675">
        <f t="shared" si="91"/>
        <v>0</v>
      </c>
    </row>
    <row r="306" spans="1:8" s="663" customFormat="1" hidden="1" x14ac:dyDescent="0.25">
      <c r="A306" s="39" t="s">
        <v>97</v>
      </c>
      <c r="B306" s="40" t="s">
        <v>98</v>
      </c>
      <c r="C306" s="665">
        <f>C307</f>
        <v>0</v>
      </c>
      <c r="D306" s="665">
        <f>D307</f>
        <v>0</v>
      </c>
      <c r="E306" s="665">
        <f>E307</f>
        <v>0</v>
      </c>
      <c r="F306" s="665">
        <f t="shared" ref="F306" si="108">F307</f>
        <v>0</v>
      </c>
      <c r="G306" s="666">
        <f t="shared" si="90"/>
        <v>0</v>
      </c>
      <c r="H306" s="666">
        <f t="shared" si="91"/>
        <v>0</v>
      </c>
    </row>
    <row r="307" spans="1:8" hidden="1" x14ac:dyDescent="0.25">
      <c r="A307" s="41" t="s">
        <v>99</v>
      </c>
      <c r="B307" s="42" t="s">
        <v>98</v>
      </c>
      <c r="C307" s="673"/>
      <c r="D307" s="673"/>
      <c r="E307" s="673"/>
      <c r="F307" s="673"/>
      <c r="G307" s="675">
        <f t="shared" si="90"/>
        <v>0</v>
      </c>
      <c r="H307" s="675">
        <f t="shared" si="91"/>
        <v>0</v>
      </c>
    </row>
    <row r="308" spans="1:8" s="663" customFormat="1" x14ac:dyDescent="0.25">
      <c r="A308" s="39" t="s">
        <v>212</v>
      </c>
      <c r="B308" s="40" t="s">
        <v>100</v>
      </c>
      <c r="C308" s="665">
        <f>C309</f>
        <v>0</v>
      </c>
      <c r="D308" s="665">
        <f>D309</f>
        <v>9675.4599999999991</v>
      </c>
      <c r="E308" s="665">
        <f>E309</f>
        <v>9675.4599999999991</v>
      </c>
      <c r="F308" s="665">
        <f t="shared" ref="F308" si="109">F309</f>
        <v>0</v>
      </c>
      <c r="G308" s="666">
        <f t="shared" si="90"/>
        <v>0</v>
      </c>
      <c r="H308" s="666">
        <f t="shared" si="91"/>
        <v>0</v>
      </c>
    </row>
    <row r="309" spans="1:8" s="663" customFormat="1" x14ac:dyDescent="0.25">
      <c r="A309" s="39" t="s">
        <v>213</v>
      </c>
      <c r="B309" s="40" t="s">
        <v>101</v>
      </c>
      <c r="C309" s="665">
        <f>SUM(C310)</f>
        <v>0</v>
      </c>
      <c r="D309" s="665">
        <f>SUM(D310)</f>
        <v>9675.4599999999991</v>
      </c>
      <c r="E309" s="665">
        <f>SUM(E310)</f>
        <v>9675.4599999999991</v>
      </c>
      <c r="F309" s="665">
        <f t="shared" ref="F309" si="110">SUM(F310)</f>
        <v>0</v>
      </c>
      <c r="G309" s="666">
        <f t="shared" si="90"/>
        <v>0</v>
      </c>
      <c r="H309" s="666">
        <f t="shared" si="91"/>
        <v>0</v>
      </c>
    </row>
    <row r="310" spans="1:8" x14ac:dyDescent="0.25">
      <c r="A310" s="41" t="s">
        <v>475</v>
      </c>
      <c r="B310" s="42" t="s">
        <v>101</v>
      </c>
      <c r="C310" s="673">
        <v>0</v>
      </c>
      <c r="D310" s="673">
        <v>9675.4599999999991</v>
      </c>
      <c r="E310" s="673">
        <v>9675.4599999999991</v>
      </c>
      <c r="F310" s="673">
        <v>0</v>
      </c>
      <c r="G310" s="675">
        <f t="shared" si="90"/>
        <v>0</v>
      </c>
      <c r="H310" s="675">
        <f t="shared" si="91"/>
        <v>0</v>
      </c>
    </row>
    <row r="311" spans="1:8" s="663" customFormat="1" x14ac:dyDescent="0.25">
      <c r="A311" s="746">
        <v>32</v>
      </c>
      <c r="B311" s="747" t="s">
        <v>102</v>
      </c>
      <c r="C311" s="748">
        <f>C312+C322+C336</f>
        <v>799.5</v>
      </c>
      <c r="D311" s="748">
        <f t="shared" ref="D311:F311" si="111">D312+D322+D336</f>
        <v>0</v>
      </c>
      <c r="E311" s="748">
        <f t="shared" si="111"/>
        <v>0</v>
      </c>
      <c r="F311" s="748">
        <f t="shared" si="111"/>
        <v>0</v>
      </c>
      <c r="G311" s="749">
        <f t="shared" si="90"/>
        <v>0</v>
      </c>
      <c r="H311" s="749">
        <f t="shared" si="91"/>
        <v>0</v>
      </c>
    </row>
    <row r="312" spans="1:8" s="663" customFormat="1" hidden="1" x14ac:dyDescent="0.25">
      <c r="A312" s="39" t="s">
        <v>112</v>
      </c>
      <c r="B312" s="40" t="s">
        <v>113</v>
      </c>
      <c r="C312" s="665">
        <f>C316+C318+C321</f>
        <v>0</v>
      </c>
      <c r="D312" s="665">
        <f>D316+D318+D321</f>
        <v>0</v>
      </c>
      <c r="E312" s="665">
        <f>E313+E316+E318+E321</f>
        <v>0</v>
      </c>
      <c r="F312" s="665">
        <f>F313+F316+F318+F321</f>
        <v>0</v>
      </c>
      <c r="G312" s="666">
        <f t="shared" si="90"/>
        <v>0</v>
      </c>
      <c r="H312" s="666">
        <f t="shared" si="91"/>
        <v>0</v>
      </c>
    </row>
    <row r="313" spans="1:8" s="663" customFormat="1" hidden="1" x14ac:dyDescent="0.25">
      <c r="A313" s="39" t="s">
        <v>114</v>
      </c>
      <c r="B313" s="40" t="s">
        <v>115</v>
      </c>
      <c r="C313" s="665"/>
      <c r="D313" s="665"/>
      <c r="E313" s="665">
        <f>E314+E315</f>
        <v>0</v>
      </c>
      <c r="F313" s="665">
        <f>F314+F315</f>
        <v>0</v>
      </c>
      <c r="G313" s="666">
        <f t="shared" si="90"/>
        <v>0</v>
      </c>
      <c r="H313" s="666">
        <f t="shared" si="91"/>
        <v>0</v>
      </c>
    </row>
    <row r="314" spans="1:8" s="663" customFormat="1" hidden="1" x14ac:dyDescent="0.25">
      <c r="A314" s="41" t="s">
        <v>497</v>
      </c>
      <c r="B314" s="42" t="s">
        <v>394</v>
      </c>
      <c r="C314" s="673"/>
      <c r="D314" s="673"/>
      <c r="E314" s="673">
        <v>0</v>
      </c>
      <c r="F314" s="673">
        <v>0</v>
      </c>
      <c r="G314" s="675">
        <f t="shared" si="90"/>
        <v>0</v>
      </c>
      <c r="H314" s="675">
        <f t="shared" si="91"/>
        <v>0</v>
      </c>
    </row>
    <row r="315" spans="1:8" s="663" customFormat="1" hidden="1" x14ac:dyDescent="0.25">
      <c r="A315" s="41" t="s">
        <v>518</v>
      </c>
      <c r="B315" s="42" t="s">
        <v>396</v>
      </c>
      <c r="C315" s="673"/>
      <c r="D315" s="673"/>
      <c r="E315" s="673">
        <v>0</v>
      </c>
      <c r="F315" s="673">
        <v>0</v>
      </c>
      <c r="G315" s="675">
        <f t="shared" si="90"/>
        <v>0</v>
      </c>
      <c r="H315" s="675">
        <f t="shared" si="91"/>
        <v>0</v>
      </c>
    </row>
    <row r="316" spans="1:8" hidden="1" x14ac:dyDescent="0.25">
      <c r="A316" s="39" t="s">
        <v>116</v>
      </c>
      <c r="B316" s="40" t="s">
        <v>117</v>
      </c>
      <c r="C316" s="665"/>
      <c r="D316" s="665"/>
      <c r="E316" s="665">
        <f>E317</f>
        <v>0</v>
      </c>
      <c r="F316" s="665">
        <f>F317</f>
        <v>0</v>
      </c>
      <c r="G316" s="666">
        <f t="shared" si="90"/>
        <v>0</v>
      </c>
      <c r="H316" s="666">
        <f t="shared" si="91"/>
        <v>0</v>
      </c>
    </row>
    <row r="317" spans="1:8" hidden="1" x14ac:dyDescent="0.25">
      <c r="A317" s="41" t="s">
        <v>478</v>
      </c>
      <c r="B317" s="42" t="s">
        <v>399</v>
      </c>
      <c r="C317" s="673"/>
      <c r="D317" s="673"/>
      <c r="E317" s="673"/>
      <c r="F317" s="673">
        <v>0</v>
      </c>
      <c r="G317" s="675">
        <f t="shared" si="90"/>
        <v>0</v>
      </c>
      <c r="H317" s="675">
        <f t="shared" si="91"/>
        <v>0</v>
      </c>
    </row>
    <row r="318" spans="1:8" hidden="1" x14ac:dyDescent="0.25">
      <c r="A318" s="39" t="s">
        <v>118</v>
      </c>
      <c r="B318" s="40" t="s">
        <v>119</v>
      </c>
      <c r="C318" s="665"/>
      <c r="D318" s="665"/>
      <c r="E318" s="665">
        <f>E319+E320</f>
        <v>0</v>
      </c>
      <c r="F318" s="665">
        <f>F319+F320</f>
        <v>0</v>
      </c>
      <c r="G318" s="666">
        <f t="shared" si="90"/>
        <v>0</v>
      </c>
      <c r="H318" s="666">
        <f t="shared" si="91"/>
        <v>0</v>
      </c>
    </row>
    <row r="319" spans="1:8" hidden="1" x14ac:dyDescent="0.25">
      <c r="A319" s="41" t="s">
        <v>481</v>
      </c>
      <c r="B319" s="42" t="s">
        <v>403</v>
      </c>
      <c r="C319" s="673"/>
      <c r="D319" s="673"/>
      <c r="E319" s="673"/>
      <c r="F319" s="673">
        <v>0</v>
      </c>
      <c r="G319" s="675">
        <f t="shared" si="90"/>
        <v>0</v>
      </c>
      <c r="H319" s="675">
        <f t="shared" si="91"/>
        <v>0</v>
      </c>
    </row>
    <row r="320" spans="1:8" hidden="1" x14ac:dyDescent="0.25">
      <c r="A320" s="41" t="s">
        <v>483</v>
      </c>
      <c r="B320" s="42" t="s">
        <v>405</v>
      </c>
      <c r="C320" s="673"/>
      <c r="D320" s="673"/>
      <c r="E320" s="673"/>
      <c r="F320" s="673">
        <v>0</v>
      </c>
      <c r="G320" s="675">
        <f t="shared" si="90"/>
        <v>0</v>
      </c>
      <c r="H320" s="675">
        <f t="shared" si="91"/>
        <v>0</v>
      </c>
    </row>
    <row r="321" spans="1:8" hidden="1" x14ac:dyDescent="0.25">
      <c r="A321" s="39" t="s">
        <v>120</v>
      </c>
      <c r="B321" s="40" t="s">
        <v>321</v>
      </c>
      <c r="C321" s="665"/>
      <c r="D321" s="665"/>
      <c r="E321" s="665"/>
      <c r="F321" s="665"/>
      <c r="G321" s="666">
        <f t="shared" si="90"/>
        <v>0</v>
      </c>
      <c r="H321" s="666">
        <f t="shared" si="91"/>
        <v>0</v>
      </c>
    </row>
    <row r="322" spans="1:8" x14ac:dyDescent="0.25">
      <c r="A322" s="39" t="s">
        <v>126</v>
      </c>
      <c r="B322" s="40" t="s">
        <v>127</v>
      </c>
      <c r="C322" s="665">
        <f>C323+C325+C327+C329</f>
        <v>70</v>
      </c>
      <c r="D322" s="665">
        <f t="shared" ref="D322:F322" si="112">D323+D325+D327+D329</f>
        <v>0</v>
      </c>
      <c r="E322" s="665">
        <f t="shared" si="112"/>
        <v>0</v>
      </c>
      <c r="F322" s="665">
        <f t="shared" si="112"/>
        <v>0</v>
      </c>
      <c r="G322" s="666">
        <f t="shared" si="90"/>
        <v>0</v>
      </c>
      <c r="H322" s="666">
        <f t="shared" si="91"/>
        <v>0</v>
      </c>
    </row>
    <row r="323" spans="1:8" hidden="1" x14ac:dyDescent="0.25">
      <c r="A323" s="39" t="s">
        <v>128</v>
      </c>
      <c r="B323" s="40" t="s">
        <v>129</v>
      </c>
      <c r="C323" s="665">
        <f>C324</f>
        <v>0</v>
      </c>
      <c r="D323" s="665">
        <f>D324</f>
        <v>0</v>
      </c>
      <c r="E323" s="665">
        <f t="shared" ref="E323:F323" si="113">E324</f>
        <v>0</v>
      </c>
      <c r="F323" s="665">
        <f t="shared" si="113"/>
        <v>0</v>
      </c>
      <c r="G323" s="666">
        <f t="shared" si="90"/>
        <v>0</v>
      </c>
      <c r="H323" s="666">
        <f t="shared" si="91"/>
        <v>0</v>
      </c>
    </row>
    <row r="324" spans="1:8" hidden="1" x14ac:dyDescent="0.25">
      <c r="A324" s="41" t="s">
        <v>487</v>
      </c>
      <c r="B324" s="42" t="s">
        <v>410</v>
      </c>
      <c r="C324" s="673"/>
      <c r="D324" s="673"/>
      <c r="E324" s="673">
        <v>0</v>
      </c>
      <c r="F324" s="673">
        <v>0</v>
      </c>
      <c r="G324" s="675">
        <f t="shared" si="90"/>
        <v>0</v>
      </c>
      <c r="H324" s="675">
        <f t="shared" si="91"/>
        <v>0</v>
      </c>
    </row>
    <row r="325" spans="1:8" hidden="1" x14ac:dyDescent="0.25">
      <c r="A325" s="39" t="s">
        <v>217</v>
      </c>
      <c r="B325" s="40" t="s">
        <v>137</v>
      </c>
      <c r="C325" s="665"/>
      <c r="D325" s="665"/>
      <c r="E325" s="665">
        <f>E326</f>
        <v>0</v>
      </c>
      <c r="F325" s="665">
        <f>F326</f>
        <v>0</v>
      </c>
      <c r="G325" s="666">
        <f t="shared" si="90"/>
        <v>0</v>
      </c>
      <c r="H325" s="666">
        <f t="shared" si="91"/>
        <v>0</v>
      </c>
    </row>
    <row r="326" spans="1:8" hidden="1" x14ac:dyDescent="0.25">
      <c r="A326" s="41" t="s">
        <v>498</v>
      </c>
      <c r="B326" s="42" t="s">
        <v>421</v>
      </c>
      <c r="C326" s="673"/>
      <c r="D326" s="673"/>
      <c r="E326" s="673">
        <v>0</v>
      </c>
      <c r="F326" s="673">
        <v>0</v>
      </c>
      <c r="G326" s="675">
        <f t="shared" si="90"/>
        <v>0</v>
      </c>
      <c r="H326" s="675">
        <f t="shared" si="91"/>
        <v>0</v>
      </c>
    </row>
    <row r="327" spans="1:8" hidden="1" x14ac:dyDescent="0.25">
      <c r="A327" s="39" t="s">
        <v>218</v>
      </c>
      <c r="B327" s="40" t="s">
        <v>138</v>
      </c>
      <c r="C327" s="665"/>
      <c r="D327" s="665"/>
      <c r="E327" s="665">
        <f>E328</f>
        <v>0</v>
      </c>
      <c r="F327" s="665">
        <f>F328</f>
        <v>0</v>
      </c>
      <c r="G327" s="666">
        <f t="shared" ref="G327:G390" si="114">IFERROR(F327/D327*100,F327)</f>
        <v>0</v>
      </c>
      <c r="H327" s="666">
        <f t="shared" ref="H327:H390" si="115">IFERROR(F327/E327*100,F327)</f>
        <v>0</v>
      </c>
    </row>
    <row r="328" spans="1:8" hidden="1" x14ac:dyDescent="0.25">
      <c r="A328" s="41">
        <v>32379</v>
      </c>
      <c r="B328" s="42" t="s">
        <v>490</v>
      </c>
      <c r="C328" s="673"/>
      <c r="D328" s="673"/>
      <c r="E328" s="673"/>
      <c r="F328" s="673">
        <v>0</v>
      </c>
      <c r="G328" s="675">
        <f t="shared" si="114"/>
        <v>0</v>
      </c>
      <c r="H328" s="675">
        <f t="shared" si="115"/>
        <v>0</v>
      </c>
    </row>
    <row r="329" spans="1:8" x14ac:dyDescent="0.25">
      <c r="A329" s="39" t="s">
        <v>141</v>
      </c>
      <c r="B329" s="40" t="s">
        <v>142</v>
      </c>
      <c r="C329" s="665">
        <f>SUM(C330:C331)</f>
        <v>70</v>
      </c>
      <c r="D329" s="665">
        <f t="shared" ref="D329:F329" si="116">SUM(D330:D331)</f>
        <v>0</v>
      </c>
      <c r="E329" s="665">
        <f t="shared" si="116"/>
        <v>0</v>
      </c>
      <c r="F329" s="665">
        <f t="shared" si="116"/>
        <v>0</v>
      </c>
      <c r="G329" s="666">
        <f t="shared" si="114"/>
        <v>0</v>
      </c>
      <c r="H329" s="666">
        <f t="shared" si="115"/>
        <v>0</v>
      </c>
    </row>
    <row r="330" spans="1:8" hidden="1" x14ac:dyDescent="0.25">
      <c r="A330" s="41" t="s">
        <v>598</v>
      </c>
      <c r="B330" s="42" t="s">
        <v>425</v>
      </c>
      <c r="C330" s="673"/>
      <c r="D330" s="673"/>
      <c r="E330" s="673"/>
      <c r="F330" s="673">
        <v>0</v>
      </c>
      <c r="G330" s="675">
        <f t="shared" si="114"/>
        <v>0</v>
      </c>
      <c r="H330" s="675">
        <f t="shared" si="115"/>
        <v>0</v>
      </c>
    </row>
    <row r="331" spans="1:8" x14ac:dyDescent="0.25">
      <c r="A331" s="41" t="s">
        <v>500</v>
      </c>
      <c r="B331" s="42" t="s">
        <v>305</v>
      </c>
      <c r="C331" s="673">
        <v>70</v>
      </c>
      <c r="D331" s="673"/>
      <c r="E331" s="673"/>
      <c r="F331" s="673"/>
      <c r="G331" s="675">
        <f t="shared" si="114"/>
        <v>0</v>
      </c>
      <c r="H331" s="675">
        <f t="shared" si="115"/>
        <v>0</v>
      </c>
    </row>
    <row r="332" spans="1:8" hidden="1" x14ac:dyDescent="0.25">
      <c r="A332" s="39" t="s">
        <v>609</v>
      </c>
      <c r="B332" s="40" t="s">
        <v>127</v>
      </c>
      <c r="C332" s="665">
        <f>C333</f>
        <v>0</v>
      </c>
      <c r="D332" s="665">
        <f>D333</f>
        <v>0</v>
      </c>
      <c r="E332" s="665">
        <f t="shared" ref="E332:F332" si="117">E333</f>
        <v>0</v>
      </c>
      <c r="F332" s="665">
        <f t="shared" si="117"/>
        <v>0</v>
      </c>
      <c r="G332" s="666">
        <f t="shared" si="114"/>
        <v>0</v>
      </c>
      <c r="H332" s="666">
        <f t="shared" si="115"/>
        <v>0</v>
      </c>
    </row>
    <row r="333" spans="1:8" hidden="1" x14ac:dyDescent="0.25">
      <c r="A333" s="39" t="s">
        <v>610</v>
      </c>
      <c r="B333" s="40" t="s">
        <v>142</v>
      </c>
      <c r="C333" s="665">
        <f>C334+C335</f>
        <v>0</v>
      </c>
      <c r="D333" s="665">
        <f>D334+D335</f>
        <v>0</v>
      </c>
      <c r="E333" s="665">
        <f t="shared" ref="E333:F333" si="118">E334+E335</f>
        <v>0</v>
      </c>
      <c r="F333" s="665">
        <f t="shared" si="118"/>
        <v>0</v>
      </c>
      <c r="G333" s="666">
        <f t="shared" si="114"/>
        <v>0</v>
      </c>
      <c r="H333" s="666">
        <f t="shared" si="115"/>
        <v>0</v>
      </c>
    </row>
    <row r="334" spans="1:8" hidden="1" x14ac:dyDescent="0.25">
      <c r="A334" s="41" t="s">
        <v>611</v>
      </c>
      <c r="B334" s="42" t="s">
        <v>613</v>
      </c>
      <c r="C334" s="673"/>
      <c r="D334" s="673"/>
      <c r="E334" s="673">
        <v>0</v>
      </c>
      <c r="F334" s="673">
        <v>0</v>
      </c>
      <c r="G334" s="675">
        <f t="shared" si="114"/>
        <v>0</v>
      </c>
      <c r="H334" s="675">
        <f t="shared" si="115"/>
        <v>0</v>
      </c>
    </row>
    <row r="335" spans="1:8" hidden="1" x14ac:dyDescent="0.25">
      <c r="A335" s="41" t="s">
        <v>612</v>
      </c>
      <c r="B335" s="42" t="s">
        <v>614</v>
      </c>
      <c r="C335" s="673"/>
      <c r="D335" s="673"/>
      <c r="E335" s="673">
        <v>0</v>
      </c>
      <c r="F335" s="673">
        <v>0</v>
      </c>
      <c r="G335" s="675">
        <f t="shared" si="114"/>
        <v>0</v>
      </c>
      <c r="H335" s="675">
        <f t="shared" si="115"/>
        <v>0</v>
      </c>
    </row>
    <row r="336" spans="1:8" x14ac:dyDescent="0.25">
      <c r="A336" s="39" t="s">
        <v>219</v>
      </c>
      <c r="B336" s="40" t="s">
        <v>144</v>
      </c>
      <c r="C336" s="665">
        <f>C337+C339+C341</f>
        <v>729.5</v>
      </c>
      <c r="D336" s="665">
        <f t="shared" ref="D336:F336" si="119">D337+D339+D341</f>
        <v>0</v>
      </c>
      <c r="E336" s="665">
        <f t="shared" si="119"/>
        <v>0</v>
      </c>
      <c r="F336" s="665">
        <f t="shared" si="119"/>
        <v>0</v>
      </c>
      <c r="G336" s="666">
        <f t="shared" si="114"/>
        <v>0</v>
      </c>
      <c r="H336" s="666">
        <f t="shared" si="115"/>
        <v>0</v>
      </c>
    </row>
    <row r="337" spans="1:8" hidden="1" x14ac:dyDescent="0.25">
      <c r="A337" s="39" t="s">
        <v>231</v>
      </c>
      <c r="B337" s="40" t="s">
        <v>147</v>
      </c>
      <c r="C337" s="673"/>
      <c r="D337" s="673"/>
      <c r="E337" s="665">
        <f>E338</f>
        <v>0</v>
      </c>
      <c r="F337" s="665">
        <f>F338</f>
        <v>0</v>
      </c>
      <c r="G337" s="666">
        <f t="shared" si="114"/>
        <v>0</v>
      </c>
      <c r="H337" s="666">
        <f t="shared" si="115"/>
        <v>0</v>
      </c>
    </row>
    <row r="338" spans="1:8" hidden="1" x14ac:dyDescent="0.25">
      <c r="A338" s="41" t="s">
        <v>599</v>
      </c>
      <c r="B338" s="42" t="s">
        <v>427</v>
      </c>
      <c r="C338" s="665"/>
      <c r="D338" s="665"/>
      <c r="E338" s="673"/>
      <c r="F338" s="673">
        <v>0</v>
      </c>
      <c r="G338" s="675">
        <f t="shared" si="114"/>
        <v>0</v>
      </c>
      <c r="H338" s="675">
        <f t="shared" si="115"/>
        <v>0</v>
      </c>
    </row>
    <row r="339" spans="1:8" x14ac:dyDescent="0.25">
      <c r="A339" s="39" t="s">
        <v>221</v>
      </c>
      <c r="B339" s="40" t="s">
        <v>148</v>
      </c>
      <c r="C339" s="665">
        <f>C340</f>
        <v>729.5</v>
      </c>
      <c r="D339" s="665">
        <f t="shared" ref="D339:F339" si="120">D340</f>
        <v>0</v>
      </c>
      <c r="E339" s="665">
        <f t="shared" si="120"/>
        <v>0</v>
      </c>
      <c r="F339" s="665">
        <f t="shared" si="120"/>
        <v>0</v>
      </c>
      <c r="G339" s="666">
        <f t="shared" si="114"/>
        <v>0</v>
      </c>
      <c r="H339" s="666">
        <f t="shared" si="115"/>
        <v>0</v>
      </c>
    </row>
    <row r="340" spans="1:8" x14ac:dyDescent="0.25">
      <c r="A340" s="41" t="s">
        <v>532</v>
      </c>
      <c r="B340" s="42" t="s">
        <v>148</v>
      </c>
      <c r="C340" s="673">
        <v>729.5</v>
      </c>
      <c r="D340" s="673"/>
      <c r="E340" s="673"/>
      <c r="F340" s="673"/>
      <c r="G340" s="675">
        <f t="shared" si="114"/>
        <v>0</v>
      </c>
      <c r="H340" s="675">
        <f t="shared" si="115"/>
        <v>0</v>
      </c>
    </row>
    <row r="341" spans="1:8" hidden="1" x14ac:dyDescent="0.25">
      <c r="A341" s="39" t="s">
        <v>152</v>
      </c>
      <c r="B341" s="40" t="s">
        <v>144</v>
      </c>
      <c r="C341" s="665"/>
      <c r="D341" s="665"/>
      <c r="E341" s="665">
        <f>E342</f>
        <v>0</v>
      </c>
      <c r="F341" s="665">
        <f>F342</f>
        <v>0</v>
      </c>
      <c r="G341" s="666">
        <f t="shared" si="114"/>
        <v>0</v>
      </c>
      <c r="H341" s="666">
        <f t="shared" si="115"/>
        <v>0</v>
      </c>
    </row>
    <row r="342" spans="1:8" hidden="1" x14ac:dyDescent="0.25">
      <c r="A342" s="41" t="s">
        <v>600</v>
      </c>
      <c r="B342" s="42" t="s">
        <v>144</v>
      </c>
      <c r="C342" s="665"/>
      <c r="D342" s="665"/>
      <c r="E342" s="673"/>
      <c r="F342" s="673">
        <v>0</v>
      </c>
      <c r="G342" s="675">
        <f t="shared" si="114"/>
        <v>0</v>
      </c>
      <c r="H342" s="675">
        <f t="shared" si="115"/>
        <v>0</v>
      </c>
    </row>
    <row r="343" spans="1:8" s="663" customFormat="1" hidden="1" x14ac:dyDescent="0.25">
      <c r="A343" s="746" t="s">
        <v>165</v>
      </c>
      <c r="B343" s="751" t="s">
        <v>340</v>
      </c>
      <c r="C343" s="748">
        <f t="shared" ref="C343:F344" si="121">C344</f>
        <v>0</v>
      </c>
      <c r="D343" s="748">
        <f t="shared" si="121"/>
        <v>0</v>
      </c>
      <c r="E343" s="748">
        <f t="shared" si="121"/>
        <v>0</v>
      </c>
      <c r="F343" s="748">
        <f t="shared" si="121"/>
        <v>0</v>
      </c>
      <c r="G343" s="749">
        <f t="shared" si="114"/>
        <v>0</v>
      </c>
      <c r="H343" s="749">
        <f t="shared" si="115"/>
        <v>0</v>
      </c>
    </row>
    <row r="344" spans="1:8" s="663" customFormat="1" hidden="1" x14ac:dyDescent="0.25">
      <c r="A344" s="39" t="s">
        <v>333</v>
      </c>
      <c r="B344" s="40" t="s">
        <v>169</v>
      </c>
      <c r="C344" s="665">
        <f t="shared" si="121"/>
        <v>0</v>
      </c>
      <c r="D344" s="665">
        <f t="shared" si="121"/>
        <v>0</v>
      </c>
      <c r="E344" s="665">
        <f t="shared" si="121"/>
        <v>0</v>
      </c>
      <c r="F344" s="665">
        <f t="shared" si="121"/>
        <v>0</v>
      </c>
      <c r="G344" s="666">
        <f t="shared" si="114"/>
        <v>0</v>
      </c>
      <c r="H344" s="666">
        <f t="shared" si="115"/>
        <v>0</v>
      </c>
    </row>
    <row r="345" spans="1:8" hidden="1" x14ac:dyDescent="0.25">
      <c r="A345" s="41" t="s">
        <v>349</v>
      </c>
      <c r="B345" s="42" t="s">
        <v>350</v>
      </c>
      <c r="C345" s="673"/>
      <c r="D345" s="673"/>
      <c r="E345" s="673"/>
      <c r="F345" s="673"/>
      <c r="G345" s="675">
        <f t="shared" si="114"/>
        <v>0</v>
      </c>
      <c r="H345" s="675">
        <f t="shared" si="115"/>
        <v>0</v>
      </c>
    </row>
    <row r="346" spans="1:8" hidden="1" x14ac:dyDescent="0.25">
      <c r="A346" s="738" t="s">
        <v>341</v>
      </c>
      <c r="B346" s="735" t="s">
        <v>174</v>
      </c>
      <c r="C346" s="736">
        <f>C347+C351</f>
        <v>0</v>
      </c>
      <c r="D346" s="736">
        <f>D347+D351</f>
        <v>0</v>
      </c>
      <c r="E346" s="736">
        <f>E347+E351</f>
        <v>0</v>
      </c>
      <c r="F346" s="736">
        <f>F347+F351</f>
        <v>0</v>
      </c>
      <c r="G346" s="737">
        <f t="shared" si="114"/>
        <v>0</v>
      </c>
      <c r="H346" s="737">
        <f t="shared" si="115"/>
        <v>0</v>
      </c>
    </row>
    <row r="347" spans="1:8" hidden="1" x14ac:dyDescent="0.25">
      <c r="A347" s="746" t="s">
        <v>344</v>
      </c>
      <c r="B347" s="747" t="s">
        <v>183</v>
      </c>
      <c r="C347" s="748">
        <f>C348</f>
        <v>0</v>
      </c>
      <c r="D347" s="748">
        <f>D348</f>
        <v>0</v>
      </c>
      <c r="E347" s="748">
        <f>E348</f>
        <v>0</v>
      </c>
      <c r="F347" s="748">
        <f t="shared" ref="F347" si="122">F348</f>
        <v>0</v>
      </c>
      <c r="G347" s="749">
        <f t="shared" si="114"/>
        <v>0</v>
      </c>
      <c r="H347" s="749">
        <f t="shared" si="115"/>
        <v>0</v>
      </c>
    </row>
    <row r="348" spans="1:8" hidden="1" x14ac:dyDescent="0.25">
      <c r="A348" s="39">
        <v>422</v>
      </c>
      <c r="B348" s="51" t="s">
        <v>184</v>
      </c>
      <c r="C348" s="665">
        <f>C349+C350</f>
        <v>0</v>
      </c>
      <c r="D348" s="665">
        <f>D349+D350</f>
        <v>0</v>
      </c>
      <c r="E348" s="665">
        <f t="shared" ref="E348:F348" si="123">E349+E350</f>
        <v>0</v>
      </c>
      <c r="F348" s="665">
        <f t="shared" si="123"/>
        <v>0</v>
      </c>
      <c r="G348" s="666">
        <f t="shared" si="114"/>
        <v>0</v>
      </c>
      <c r="H348" s="666">
        <f t="shared" si="115"/>
        <v>0</v>
      </c>
    </row>
    <row r="349" spans="1:8" hidden="1" x14ac:dyDescent="0.25">
      <c r="A349" s="41" t="s">
        <v>229</v>
      </c>
      <c r="B349" s="56" t="s">
        <v>190</v>
      </c>
      <c r="C349" s="673"/>
      <c r="D349" s="673"/>
      <c r="E349" s="673"/>
      <c r="F349" s="673"/>
      <c r="G349" s="675">
        <f t="shared" si="114"/>
        <v>0</v>
      </c>
      <c r="H349" s="675">
        <f t="shared" si="115"/>
        <v>0</v>
      </c>
    </row>
    <row r="350" spans="1:8" hidden="1" x14ac:dyDescent="0.25">
      <c r="A350" s="41" t="s">
        <v>345</v>
      </c>
      <c r="B350" s="56" t="s">
        <v>192</v>
      </c>
      <c r="C350" s="673"/>
      <c r="D350" s="673"/>
      <c r="E350" s="673"/>
      <c r="F350" s="673"/>
      <c r="G350" s="675">
        <f t="shared" si="114"/>
        <v>0</v>
      </c>
      <c r="H350" s="675">
        <f t="shared" si="115"/>
        <v>0</v>
      </c>
    </row>
    <row r="351" spans="1:8" s="663" customFormat="1" hidden="1" x14ac:dyDescent="0.25">
      <c r="A351" s="746" t="s">
        <v>196</v>
      </c>
      <c r="B351" s="752" t="s">
        <v>197</v>
      </c>
      <c r="C351" s="748">
        <f>C352</f>
        <v>0</v>
      </c>
      <c r="D351" s="748">
        <f>D352</f>
        <v>0</v>
      </c>
      <c r="E351" s="748">
        <f>E352</f>
        <v>0</v>
      </c>
      <c r="F351" s="748">
        <f t="shared" ref="F351" si="124">F352</f>
        <v>0</v>
      </c>
      <c r="G351" s="749">
        <f t="shared" si="114"/>
        <v>0</v>
      </c>
      <c r="H351" s="749">
        <f t="shared" si="115"/>
        <v>0</v>
      </c>
    </row>
    <row r="352" spans="1:8" hidden="1" x14ac:dyDescent="0.25">
      <c r="A352" s="39" t="s">
        <v>198</v>
      </c>
      <c r="B352" s="40" t="s">
        <v>199</v>
      </c>
      <c r="C352" s="665"/>
      <c r="D352" s="665"/>
      <c r="E352" s="665"/>
      <c r="F352" s="665"/>
      <c r="G352" s="666">
        <f t="shared" si="114"/>
        <v>0</v>
      </c>
      <c r="H352" s="666">
        <f t="shared" si="115"/>
        <v>0</v>
      </c>
    </row>
    <row r="353" spans="1:8" hidden="1" x14ac:dyDescent="0.25">
      <c r="A353" s="41" t="s">
        <v>200</v>
      </c>
      <c r="B353" s="42" t="s">
        <v>199</v>
      </c>
      <c r="C353" s="673"/>
      <c r="D353" s="673"/>
      <c r="E353" s="673"/>
      <c r="F353" s="673"/>
      <c r="G353" s="675">
        <f t="shared" si="114"/>
        <v>0</v>
      </c>
      <c r="H353" s="675">
        <f t="shared" si="115"/>
        <v>0</v>
      </c>
    </row>
    <row r="354" spans="1:8" s="663" customFormat="1" hidden="1" x14ac:dyDescent="0.25">
      <c r="A354" s="720">
        <v>52</v>
      </c>
      <c r="B354" s="721" t="s">
        <v>227</v>
      </c>
      <c r="C354" s="724"/>
      <c r="D354" s="724"/>
      <c r="E354" s="724"/>
      <c r="F354" s="724"/>
      <c r="G354" s="725">
        <f t="shared" si="114"/>
        <v>0</v>
      </c>
      <c r="H354" s="725">
        <f t="shared" si="115"/>
        <v>0</v>
      </c>
    </row>
    <row r="355" spans="1:8" s="663" customFormat="1" hidden="1" x14ac:dyDescent="0.25">
      <c r="A355" s="738" t="s">
        <v>86</v>
      </c>
      <c r="B355" s="735" t="s">
        <v>87</v>
      </c>
      <c r="C355" s="736"/>
      <c r="D355" s="736"/>
      <c r="E355" s="736"/>
      <c r="F355" s="736"/>
      <c r="G355" s="737">
        <f t="shared" si="114"/>
        <v>0</v>
      </c>
      <c r="H355" s="737">
        <f t="shared" si="115"/>
        <v>0</v>
      </c>
    </row>
    <row r="356" spans="1:8" s="663" customFormat="1" hidden="1" x14ac:dyDescent="0.25">
      <c r="A356" s="746">
        <v>31</v>
      </c>
      <c r="B356" s="747" t="s">
        <v>88</v>
      </c>
      <c r="C356" s="748"/>
      <c r="D356" s="748"/>
      <c r="E356" s="748"/>
      <c r="F356" s="748"/>
      <c r="G356" s="749">
        <f t="shared" si="114"/>
        <v>0</v>
      </c>
      <c r="H356" s="749">
        <f t="shared" si="115"/>
        <v>0</v>
      </c>
    </row>
    <row r="357" spans="1:8" s="663" customFormat="1" hidden="1" x14ac:dyDescent="0.25">
      <c r="A357" s="39">
        <v>311</v>
      </c>
      <c r="B357" s="40" t="s">
        <v>89</v>
      </c>
      <c r="C357" s="665"/>
      <c r="D357" s="665"/>
      <c r="E357" s="665"/>
      <c r="F357" s="665"/>
      <c r="G357" s="666">
        <f t="shared" si="114"/>
        <v>0</v>
      </c>
      <c r="H357" s="666">
        <f t="shared" si="115"/>
        <v>0</v>
      </c>
    </row>
    <row r="358" spans="1:8" hidden="1" x14ac:dyDescent="0.25">
      <c r="A358" s="41">
        <v>3111</v>
      </c>
      <c r="B358" s="42" t="s">
        <v>90</v>
      </c>
      <c r="C358" s="673"/>
      <c r="D358" s="673"/>
      <c r="E358" s="673"/>
      <c r="F358" s="673"/>
      <c r="G358" s="675">
        <f t="shared" si="114"/>
        <v>0</v>
      </c>
      <c r="H358" s="675">
        <f t="shared" si="115"/>
        <v>0</v>
      </c>
    </row>
    <row r="359" spans="1:8" s="663" customFormat="1" hidden="1" x14ac:dyDescent="0.25">
      <c r="A359" s="39" t="s">
        <v>212</v>
      </c>
      <c r="B359" s="40" t="s">
        <v>100</v>
      </c>
      <c r="C359" s="665"/>
      <c r="D359" s="665"/>
      <c r="E359" s="665"/>
      <c r="F359" s="665"/>
      <c r="G359" s="666">
        <f t="shared" si="114"/>
        <v>0</v>
      </c>
      <c r="H359" s="666">
        <f t="shared" si="115"/>
        <v>0</v>
      </c>
    </row>
    <row r="360" spans="1:8" hidden="1" x14ac:dyDescent="0.25">
      <c r="A360" s="41" t="s">
        <v>213</v>
      </c>
      <c r="B360" s="42" t="s">
        <v>101</v>
      </c>
      <c r="C360" s="673"/>
      <c r="D360" s="673"/>
      <c r="E360" s="673"/>
      <c r="F360" s="673"/>
      <c r="G360" s="675">
        <f t="shared" si="114"/>
        <v>0</v>
      </c>
      <c r="H360" s="675">
        <f t="shared" si="115"/>
        <v>0</v>
      </c>
    </row>
    <row r="361" spans="1:8" s="700" customFormat="1" ht="15" x14ac:dyDescent="0.25">
      <c r="A361" s="720" t="s">
        <v>71</v>
      </c>
      <c r="B361" s="721" t="s">
        <v>72</v>
      </c>
      <c r="C361" s="724">
        <f>C362+C371</f>
        <v>3957.25</v>
      </c>
      <c r="D361" s="724">
        <f>D362+D371</f>
        <v>1000</v>
      </c>
      <c r="E361" s="724">
        <f>E362+E371</f>
        <v>1000</v>
      </c>
      <c r="F361" s="724">
        <f>F362+F371</f>
        <v>0</v>
      </c>
      <c r="G361" s="725">
        <f t="shared" si="114"/>
        <v>0</v>
      </c>
      <c r="H361" s="725">
        <f t="shared" si="115"/>
        <v>0</v>
      </c>
    </row>
    <row r="362" spans="1:8" s="663" customFormat="1" x14ac:dyDescent="0.25">
      <c r="A362" s="738" t="s">
        <v>86</v>
      </c>
      <c r="B362" s="735" t="s">
        <v>87</v>
      </c>
      <c r="C362" s="736">
        <f>C363</f>
        <v>3957.25</v>
      </c>
      <c r="D362" s="736">
        <f>D363</f>
        <v>1000</v>
      </c>
      <c r="E362" s="736">
        <f>E363</f>
        <v>1000</v>
      </c>
      <c r="F362" s="736">
        <f t="shared" ref="F362" si="125">F363</f>
        <v>0</v>
      </c>
      <c r="G362" s="737">
        <f t="shared" si="114"/>
        <v>0</v>
      </c>
      <c r="H362" s="737">
        <f t="shared" si="115"/>
        <v>0</v>
      </c>
    </row>
    <row r="363" spans="1:8" s="663" customFormat="1" x14ac:dyDescent="0.25">
      <c r="A363" s="746">
        <v>32</v>
      </c>
      <c r="B363" s="747" t="s">
        <v>102</v>
      </c>
      <c r="C363" s="748">
        <f>C364+C369</f>
        <v>3957.25</v>
      </c>
      <c r="D363" s="748">
        <f>D364+D369</f>
        <v>1000</v>
      </c>
      <c r="E363" s="748">
        <f>E364+E369</f>
        <v>1000</v>
      </c>
      <c r="F363" s="748">
        <f>F364+F369</f>
        <v>0</v>
      </c>
      <c r="G363" s="749">
        <f t="shared" si="114"/>
        <v>0</v>
      </c>
      <c r="H363" s="749">
        <f t="shared" si="115"/>
        <v>0</v>
      </c>
    </row>
    <row r="364" spans="1:8" s="652" customFormat="1" x14ac:dyDescent="0.25">
      <c r="A364" s="39">
        <v>321</v>
      </c>
      <c r="B364" s="40" t="s">
        <v>103</v>
      </c>
      <c r="C364" s="665">
        <f>C365+C368</f>
        <v>3957.25</v>
      </c>
      <c r="D364" s="665">
        <f>D365+D368</f>
        <v>1000</v>
      </c>
      <c r="E364" s="665">
        <f>E365+E368</f>
        <v>1000</v>
      </c>
      <c r="F364" s="665">
        <f>F365+F368</f>
        <v>0</v>
      </c>
      <c r="G364" s="666">
        <f t="shared" si="114"/>
        <v>0</v>
      </c>
      <c r="H364" s="666">
        <f t="shared" si="115"/>
        <v>0</v>
      </c>
    </row>
    <row r="365" spans="1:8" s="652" customFormat="1" x14ac:dyDescent="0.25">
      <c r="A365" s="39" t="s">
        <v>104</v>
      </c>
      <c r="B365" s="40" t="s">
        <v>105</v>
      </c>
      <c r="C365" s="665">
        <f>SUM(C366:C367)</f>
        <v>3957.25</v>
      </c>
      <c r="D365" s="665">
        <f>SUM(D366:D367)</f>
        <v>1000</v>
      </c>
      <c r="E365" s="665">
        <f>SUM(E366:E367)</f>
        <v>1000</v>
      </c>
      <c r="F365" s="665">
        <f t="shared" ref="F365" si="126">SUM(F366:F367)</f>
        <v>0</v>
      </c>
      <c r="G365" s="666">
        <f t="shared" si="114"/>
        <v>0</v>
      </c>
      <c r="H365" s="666">
        <f t="shared" si="115"/>
        <v>0</v>
      </c>
    </row>
    <row r="366" spans="1:8" s="652" customFormat="1" x14ac:dyDescent="0.25">
      <c r="A366" s="41" t="s">
        <v>506</v>
      </c>
      <c r="B366" s="42" t="s">
        <v>387</v>
      </c>
      <c r="C366" s="701">
        <v>2957.25</v>
      </c>
      <c r="D366" s="673">
        <v>500</v>
      </c>
      <c r="E366" s="673">
        <v>500</v>
      </c>
      <c r="F366" s="673"/>
      <c r="G366" s="675">
        <f t="shared" si="114"/>
        <v>0</v>
      </c>
      <c r="H366" s="675">
        <f t="shared" si="115"/>
        <v>0</v>
      </c>
    </row>
    <row r="367" spans="1:8" s="676" customFormat="1" x14ac:dyDescent="0.25">
      <c r="A367" s="41" t="s">
        <v>495</v>
      </c>
      <c r="B367" s="42" t="s">
        <v>390</v>
      </c>
      <c r="C367" s="673">
        <v>1000</v>
      </c>
      <c r="D367" s="673">
        <v>500</v>
      </c>
      <c r="E367" s="673">
        <v>500</v>
      </c>
      <c r="F367" s="673"/>
      <c r="G367" s="675">
        <f t="shared" si="114"/>
        <v>0</v>
      </c>
      <c r="H367" s="675">
        <f t="shared" si="115"/>
        <v>0</v>
      </c>
    </row>
    <row r="368" spans="1:8" hidden="1" x14ac:dyDescent="0.25">
      <c r="A368" s="39" t="s">
        <v>108</v>
      </c>
      <c r="B368" s="40" t="s">
        <v>109</v>
      </c>
      <c r="C368" s="665"/>
      <c r="D368" s="665"/>
      <c r="E368" s="665"/>
      <c r="F368" s="665"/>
      <c r="G368" s="666">
        <f t="shared" si="114"/>
        <v>0</v>
      </c>
      <c r="H368" s="666">
        <f t="shared" si="115"/>
        <v>0</v>
      </c>
    </row>
    <row r="369" spans="1:9" s="663" customFormat="1" hidden="1" x14ac:dyDescent="0.25">
      <c r="A369" s="39" t="s">
        <v>112</v>
      </c>
      <c r="B369" s="40" t="s">
        <v>113</v>
      </c>
      <c r="C369" s="665">
        <f>C370</f>
        <v>0</v>
      </c>
      <c r="D369" s="665">
        <f>D370</f>
        <v>0</v>
      </c>
      <c r="E369" s="665">
        <f>E370</f>
        <v>0</v>
      </c>
      <c r="F369" s="665">
        <f t="shared" ref="F369" si="127">F370</f>
        <v>0</v>
      </c>
      <c r="G369" s="666">
        <f t="shared" si="114"/>
        <v>0</v>
      </c>
      <c r="H369" s="666">
        <f t="shared" si="115"/>
        <v>0</v>
      </c>
    </row>
    <row r="370" spans="1:9" hidden="1" x14ac:dyDescent="0.25">
      <c r="A370" s="39" t="s">
        <v>116</v>
      </c>
      <c r="B370" s="40" t="s">
        <v>117</v>
      </c>
      <c r="C370" s="665"/>
      <c r="D370" s="665"/>
      <c r="E370" s="665"/>
      <c r="F370" s="665"/>
      <c r="G370" s="666">
        <f t="shared" si="114"/>
        <v>0</v>
      </c>
      <c r="H370" s="666">
        <f t="shared" si="115"/>
        <v>0</v>
      </c>
    </row>
    <row r="371" spans="1:9" hidden="1" x14ac:dyDescent="0.25">
      <c r="A371" s="738" t="s">
        <v>341</v>
      </c>
      <c r="B371" s="735" t="s">
        <v>174</v>
      </c>
      <c r="C371" s="736">
        <f t="shared" ref="C371:F372" si="128">C372</f>
        <v>0</v>
      </c>
      <c r="D371" s="736">
        <f t="shared" si="128"/>
        <v>0</v>
      </c>
      <c r="E371" s="736">
        <f t="shared" si="128"/>
        <v>0</v>
      </c>
      <c r="F371" s="736">
        <f t="shared" si="128"/>
        <v>0</v>
      </c>
      <c r="G371" s="737">
        <f t="shared" si="114"/>
        <v>0</v>
      </c>
      <c r="H371" s="737">
        <f t="shared" si="115"/>
        <v>0</v>
      </c>
    </row>
    <row r="372" spans="1:9" s="663" customFormat="1" hidden="1" x14ac:dyDescent="0.25">
      <c r="A372" s="746">
        <v>42</v>
      </c>
      <c r="B372" s="747" t="s">
        <v>183</v>
      </c>
      <c r="C372" s="748">
        <f t="shared" si="128"/>
        <v>0</v>
      </c>
      <c r="D372" s="748">
        <f t="shared" si="128"/>
        <v>0</v>
      </c>
      <c r="E372" s="748">
        <f t="shared" si="128"/>
        <v>0</v>
      </c>
      <c r="F372" s="748">
        <f t="shared" si="128"/>
        <v>0</v>
      </c>
      <c r="G372" s="749">
        <f t="shared" si="114"/>
        <v>0</v>
      </c>
      <c r="H372" s="749">
        <f t="shared" si="115"/>
        <v>0</v>
      </c>
    </row>
    <row r="373" spans="1:9" s="663" customFormat="1" hidden="1" x14ac:dyDescent="0.25">
      <c r="A373" s="39">
        <v>422</v>
      </c>
      <c r="B373" s="40" t="s">
        <v>184</v>
      </c>
      <c r="C373" s="665">
        <f>SUM(C374:C376)</f>
        <v>0</v>
      </c>
      <c r="D373" s="665">
        <f>SUM(D374:D376)</f>
        <v>0</v>
      </c>
      <c r="E373" s="665">
        <f>SUM(E374:E376)</f>
        <v>0</v>
      </c>
      <c r="F373" s="665">
        <f t="shared" ref="F373" si="129">SUM(F374:F376)</f>
        <v>0</v>
      </c>
      <c r="G373" s="666">
        <f t="shared" si="114"/>
        <v>0</v>
      </c>
      <c r="H373" s="666">
        <f t="shared" si="115"/>
        <v>0</v>
      </c>
    </row>
    <row r="374" spans="1:9" s="676" customFormat="1" hidden="1" x14ac:dyDescent="0.25">
      <c r="A374" s="41" t="s">
        <v>185</v>
      </c>
      <c r="B374" s="42" t="s">
        <v>186</v>
      </c>
      <c r="C374" s="673"/>
      <c r="D374" s="673"/>
      <c r="E374" s="673"/>
      <c r="F374" s="673"/>
      <c r="G374" s="675">
        <f t="shared" si="114"/>
        <v>0</v>
      </c>
      <c r="H374" s="675">
        <f t="shared" si="115"/>
        <v>0</v>
      </c>
    </row>
    <row r="375" spans="1:9" hidden="1" x14ac:dyDescent="0.25">
      <c r="A375" s="41" t="s">
        <v>229</v>
      </c>
      <c r="B375" s="42" t="s">
        <v>190</v>
      </c>
      <c r="C375" s="673"/>
      <c r="D375" s="673"/>
      <c r="E375" s="673"/>
      <c r="F375" s="673"/>
      <c r="G375" s="675">
        <f t="shared" si="114"/>
        <v>0</v>
      </c>
      <c r="H375" s="675">
        <f t="shared" si="115"/>
        <v>0</v>
      </c>
    </row>
    <row r="376" spans="1:9" hidden="1" x14ac:dyDescent="0.25">
      <c r="A376" s="41" t="s">
        <v>230</v>
      </c>
      <c r="B376" s="42" t="s">
        <v>191</v>
      </c>
      <c r="C376" s="673"/>
      <c r="D376" s="673"/>
      <c r="E376" s="673"/>
      <c r="F376" s="673"/>
      <c r="G376" s="675">
        <f t="shared" si="114"/>
        <v>0</v>
      </c>
      <c r="H376" s="675">
        <f t="shared" si="115"/>
        <v>0</v>
      </c>
    </row>
    <row r="377" spans="1:9" s="703" customFormat="1" ht="30" x14ac:dyDescent="0.2">
      <c r="A377" s="720" t="s">
        <v>234</v>
      </c>
      <c r="B377" s="726" t="s">
        <v>235</v>
      </c>
      <c r="C377" s="724">
        <f>C378+C388</f>
        <v>8798.23</v>
      </c>
      <c r="D377" s="724">
        <f>D378+D388</f>
        <v>5500</v>
      </c>
      <c r="E377" s="724">
        <f>E378+E388</f>
        <v>5500</v>
      </c>
      <c r="F377" s="724">
        <f t="shared" ref="F377" si="130">F378+F388</f>
        <v>800</v>
      </c>
      <c r="G377" s="725">
        <f t="shared" si="114"/>
        <v>14.545454545454545</v>
      </c>
      <c r="H377" s="725">
        <f t="shared" si="115"/>
        <v>14.545454545454545</v>
      </c>
      <c r="I377" s="702"/>
    </row>
    <row r="378" spans="1:9" s="663" customFormat="1" x14ac:dyDescent="0.25">
      <c r="A378" s="738" t="s">
        <v>86</v>
      </c>
      <c r="B378" s="735" t="s">
        <v>87</v>
      </c>
      <c r="C378" s="736">
        <f t="shared" ref="C378:F378" si="131">C379</f>
        <v>8179.48</v>
      </c>
      <c r="D378" s="736">
        <f t="shared" si="131"/>
        <v>0</v>
      </c>
      <c r="E378" s="736">
        <f t="shared" si="131"/>
        <v>0</v>
      </c>
      <c r="F378" s="736">
        <f t="shared" si="131"/>
        <v>800</v>
      </c>
      <c r="G378" s="737">
        <f t="shared" si="114"/>
        <v>800</v>
      </c>
      <c r="H378" s="737">
        <f t="shared" si="115"/>
        <v>800</v>
      </c>
    </row>
    <row r="379" spans="1:9" s="663" customFormat="1" x14ac:dyDescent="0.25">
      <c r="A379" s="746">
        <v>32</v>
      </c>
      <c r="B379" s="747" t="s">
        <v>102</v>
      </c>
      <c r="C379" s="748">
        <f t="shared" ref="C379" si="132">C380+C383+C385</f>
        <v>8179.48</v>
      </c>
      <c r="D379" s="748">
        <f t="shared" ref="D379:E379" si="133">D380+D383+D385</f>
        <v>0</v>
      </c>
      <c r="E379" s="748">
        <f t="shared" si="133"/>
        <v>0</v>
      </c>
      <c r="F379" s="748">
        <f>F380+F383+F385</f>
        <v>800</v>
      </c>
      <c r="G379" s="749">
        <f t="shared" si="114"/>
        <v>800</v>
      </c>
      <c r="H379" s="749">
        <f t="shared" si="115"/>
        <v>800</v>
      </c>
    </row>
    <row r="380" spans="1:9" s="663" customFormat="1" hidden="1" x14ac:dyDescent="0.25">
      <c r="A380" s="39" t="s">
        <v>112</v>
      </c>
      <c r="B380" s="51" t="s">
        <v>113</v>
      </c>
      <c r="C380" s="665">
        <f>C381+C382</f>
        <v>0</v>
      </c>
      <c r="D380" s="665">
        <f>D381+D382</f>
        <v>0</v>
      </c>
      <c r="E380" s="665">
        <f>E381+E382</f>
        <v>0</v>
      </c>
      <c r="F380" s="665">
        <f t="shared" ref="F380" si="134">F381+F382</f>
        <v>0</v>
      </c>
      <c r="G380" s="666">
        <f t="shared" si="114"/>
        <v>0</v>
      </c>
      <c r="H380" s="666">
        <f t="shared" si="115"/>
        <v>0</v>
      </c>
    </row>
    <row r="381" spans="1:9" hidden="1" x14ac:dyDescent="0.25">
      <c r="A381" s="39" t="s">
        <v>116</v>
      </c>
      <c r="B381" s="51" t="s">
        <v>113</v>
      </c>
      <c r="C381" s="673"/>
      <c r="D381" s="673"/>
      <c r="E381" s="673"/>
      <c r="F381" s="673"/>
      <c r="G381" s="675">
        <f t="shared" si="114"/>
        <v>0</v>
      </c>
      <c r="H381" s="675">
        <f t="shared" si="115"/>
        <v>0</v>
      </c>
    </row>
    <row r="382" spans="1:9" hidden="1" x14ac:dyDescent="0.25">
      <c r="A382" s="39" t="s">
        <v>120</v>
      </c>
      <c r="B382" s="51" t="s">
        <v>321</v>
      </c>
      <c r="C382" s="673"/>
      <c r="D382" s="673"/>
      <c r="E382" s="673"/>
      <c r="F382" s="673"/>
      <c r="G382" s="675">
        <f t="shared" si="114"/>
        <v>0</v>
      </c>
      <c r="H382" s="675">
        <f t="shared" si="115"/>
        <v>0</v>
      </c>
    </row>
    <row r="383" spans="1:9" s="663" customFormat="1" hidden="1" x14ac:dyDescent="0.25">
      <c r="A383" s="39" t="s">
        <v>126</v>
      </c>
      <c r="B383" s="40" t="s">
        <v>127</v>
      </c>
      <c r="C383" s="665">
        <f>C384</f>
        <v>0</v>
      </c>
      <c r="D383" s="665">
        <f>D384</f>
        <v>0</v>
      </c>
      <c r="E383" s="665">
        <f>E384</f>
        <v>0</v>
      </c>
      <c r="F383" s="665">
        <f t="shared" ref="F383" si="135">F384</f>
        <v>0</v>
      </c>
      <c r="G383" s="666">
        <f t="shared" si="114"/>
        <v>0</v>
      </c>
      <c r="H383" s="666">
        <f t="shared" si="115"/>
        <v>0</v>
      </c>
    </row>
    <row r="384" spans="1:9" hidden="1" x14ac:dyDescent="0.25">
      <c r="A384" s="41" t="s">
        <v>130</v>
      </c>
      <c r="B384" s="42" t="s">
        <v>131</v>
      </c>
      <c r="C384" s="673"/>
      <c r="D384" s="673"/>
      <c r="E384" s="673"/>
      <c r="F384" s="673"/>
      <c r="G384" s="675">
        <f t="shared" si="114"/>
        <v>0</v>
      </c>
      <c r="H384" s="675">
        <f t="shared" si="115"/>
        <v>0</v>
      </c>
    </row>
    <row r="385" spans="1:9" s="663" customFormat="1" x14ac:dyDescent="0.25">
      <c r="A385" s="39" t="s">
        <v>219</v>
      </c>
      <c r="B385" s="40" t="s">
        <v>220</v>
      </c>
      <c r="C385" s="665">
        <f t="shared" ref="C385:E386" si="136">C386</f>
        <v>8179.48</v>
      </c>
      <c r="D385" s="665">
        <f t="shared" si="136"/>
        <v>0</v>
      </c>
      <c r="E385" s="665">
        <f t="shared" si="136"/>
        <v>0</v>
      </c>
      <c r="F385" s="665">
        <f>F386</f>
        <v>800</v>
      </c>
      <c r="G385" s="666">
        <f t="shared" si="114"/>
        <v>800</v>
      </c>
      <c r="H385" s="666">
        <f t="shared" si="115"/>
        <v>800</v>
      </c>
    </row>
    <row r="386" spans="1:9" s="663" customFormat="1" x14ac:dyDescent="0.25">
      <c r="A386" s="39" t="s">
        <v>231</v>
      </c>
      <c r="B386" s="40" t="s">
        <v>147</v>
      </c>
      <c r="C386" s="665">
        <f t="shared" si="136"/>
        <v>8179.48</v>
      </c>
      <c r="D386" s="665">
        <f t="shared" si="136"/>
        <v>0</v>
      </c>
      <c r="E386" s="665">
        <f t="shared" si="136"/>
        <v>0</v>
      </c>
      <c r="F386" s="665">
        <f>F387</f>
        <v>800</v>
      </c>
      <c r="G386" s="666">
        <f t="shared" si="114"/>
        <v>800</v>
      </c>
      <c r="H386" s="666">
        <f t="shared" si="115"/>
        <v>800</v>
      </c>
    </row>
    <row r="387" spans="1:9" x14ac:dyDescent="0.25">
      <c r="A387" s="41" t="s">
        <v>501</v>
      </c>
      <c r="B387" s="42" t="s">
        <v>502</v>
      </c>
      <c r="C387" s="673">
        <v>8179.48</v>
      </c>
      <c r="D387" s="673"/>
      <c r="E387" s="673"/>
      <c r="F387" s="673">
        <v>800</v>
      </c>
      <c r="G387" s="675">
        <f t="shared" si="114"/>
        <v>800</v>
      </c>
      <c r="H387" s="675">
        <f t="shared" si="115"/>
        <v>800</v>
      </c>
    </row>
    <row r="388" spans="1:9" s="663" customFormat="1" x14ac:dyDescent="0.25">
      <c r="A388" s="745" t="s">
        <v>341</v>
      </c>
      <c r="B388" s="735" t="s">
        <v>174</v>
      </c>
      <c r="C388" s="736">
        <f>C389</f>
        <v>618.75</v>
      </c>
      <c r="D388" s="736">
        <f>D389</f>
        <v>5500</v>
      </c>
      <c r="E388" s="736">
        <f>E389</f>
        <v>5500</v>
      </c>
      <c r="F388" s="736">
        <f t="shared" ref="F388" si="137">F389</f>
        <v>0</v>
      </c>
      <c r="G388" s="737">
        <f t="shared" si="114"/>
        <v>0</v>
      </c>
      <c r="H388" s="737">
        <f t="shared" si="115"/>
        <v>0</v>
      </c>
    </row>
    <row r="389" spans="1:9" s="652" customFormat="1" x14ac:dyDescent="0.25">
      <c r="A389" s="746">
        <v>42</v>
      </c>
      <c r="B389" s="747" t="s">
        <v>183</v>
      </c>
      <c r="C389" s="748">
        <f>C392+C390</f>
        <v>618.75</v>
      </c>
      <c r="D389" s="748">
        <f>D392+D390</f>
        <v>5500</v>
      </c>
      <c r="E389" s="748">
        <f>E392+E390</f>
        <v>5500</v>
      </c>
      <c r="F389" s="748">
        <f t="shared" ref="F389" si="138">F392+F390</f>
        <v>0</v>
      </c>
      <c r="G389" s="749">
        <f t="shared" si="114"/>
        <v>0</v>
      </c>
      <c r="H389" s="749">
        <f t="shared" si="115"/>
        <v>0</v>
      </c>
    </row>
    <row r="390" spans="1:9" s="652" customFormat="1" hidden="1" x14ac:dyDescent="0.25">
      <c r="A390" s="39" t="s">
        <v>206</v>
      </c>
      <c r="B390" s="40" t="s">
        <v>207</v>
      </c>
      <c r="C390" s="665">
        <f>C391</f>
        <v>0</v>
      </c>
      <c r="D390" s="665">
        <f>D391</f>
        <v>0</v>
      </c>
      <c r="E390" s="665">
        <f>E391</f>
        <v>0</v>
      </c>
      <c r="F390" s="665">
        <f t="shared" ref="F390" si="139">F391</f>
        <v>0</v>
      </c>
      <c r="G390" s="666">
        <f t="shared" si="114"/>
        <v>0</v>
      </c>
      <c r="H390" s="666">
        <f t="shared" si="115"/>
        <v>0</v>
      </c>
    </row>
    <row r="391" spans="1:9" s="676" customFormat="1" hidden="1" x14ac:dyDescent="0.25">
      <c r="A391" s="39" t="s">
        <v>208</v>
      </c>
      <c r="B391" s="40" t="s">
        <v>209</v>
      </c>
      <c r="C391" s="665"/>
      <c r="D391" s="665"/>
      <c r="E391" s="665"/>
      <c r="F391" s="665"/>
      <c r="G391" s="666">
        <f t="shared" ref="G391:G454" si="140">IFERROR(F391/D391*100,F391)</f>
        <v>0</v>
      </c>
      <c r="H391" s="666">
        <f t="shared" ref="H391:H454" si="141">IFERROR(F391/E391*100,F391)</f>
        <v>0</v>
      </c>
    </row>
    <row r="392" spans="1:9" s="663" customFormat="1" x14ac:dyDescent="0.25">
      <c r="A392" s="39">
        <v>422</v>
      </c>
      <c r="B392" s="40" t="s">
        <v>184</v>
      </c>
      <c r="C392" s="665">
        <f>SUM(C393:C395)</f>
        <v>618.75</v>
      </c>
      <c r="D392" s="665">
        <f>SUM(D393:D395)</f>
        <v>5500</v>
      </c>
      <c r="E392" s="665">
        <f>SUM(E393:E395)</f>
        <v>5500</v>
      </c>
      <c r="F392" s="665">
        <f t="shared" ref="F392" si="142">SUM(F393:F395)</f>
        <v>0</v>
      </c>
      <c r="G392" s="666">
        <f t="shared" si="140"/>
        <v>0</v>
      </c>
      <c r="H392" s="666">
        <f t="shared" si="141"/>
        <v>0</v>
      </c>
    </row>
    <row r="393" spans="1:9" hidden="1" x14ac:dyDescent="0.25">
      <c r="A393" s="39" t="s">
        <v>185</v>
      </c>
      <c r="B393" s="40" t="s">
        <v>186</v>
      </c>
      <c r="C393" s="665"/>
      <c r="D393" s="665"/>
      <c r="E393" s="665"/>
      <c r="F393" s="665"/>
      <c r="G393" s="666">
        <f t="shared" si="140"/>
        <v>0</v>
      </c>
      <c r="H393" s="666">
        <f t="shared" si="141"/>
        <v>0</v>
      </c>
    </row>
    <row r="394" spans="1:9" hidden="1" x14ac:dyDescent="0.25">
      <c r="A394" s="39" t="s">
        <v>187</v>
      </c>
      <c r="B394" s="40" t="s">
        <v>188</v>
      </c>
      <c r="C394" s="665"/>
      <c r="D394" s="665"/>
      <c r="E394" s="665"/>
      <c r="F394" s="665"/>
      <c r="G394" s="666">
        <f t="shared" si="140"/>
        <v>0</v>
      </c>
      <c r="H394" s="666">
        <f t="shared" si="141"/>
        <v>0</v>
      </c>
    </row>
    <row r="395" spans="1:9" x14ac:dyDescent="0.25">
      <c r="A395" s="39" t="s">
        <v>229</v>
      </c>
      <c r="B395" s="40" t="s">
        <v>190</v>
      </c>
      <c r="C395" s="665">
        <f>SUM(C396)</f>
        <v>618.75</v>
      </c>
      <c r="D395" s="665">
        <f>SUM(D396)</f>
        <v>5500</v>
      </c>
      <c r="E395" s="665">
        <f>SUM(E396)</f>
        <v>5500</v>
      </c>
      <c r="F395" s="665">
        <f t="shared" ref="F395" si="143">SUM(F396)</f>
        <v>0</v>
      </c>
      <c r="G395" s="666">
        <f t="shared" si="140"/>
        <v>0</v>
      </c>
      <c r="H395" s="666">
        <f t="shared" si="141"/>
        <v>0</v>
      </c>
    </row>
    <row r="396" spans="1:9" x14ac:dyDescent="0.25">
      <c r="A396" s="41" t="s">
        <v>503</v>
      </c>
      <c r="B396" s="42" t="s">
        <v>449</v>
      </c>
      <c r="C396" s="673">
        <v>618.75</v>
      </c>
      <c r="D396" s="673">
        <v>5500</v>
      </c>
      <c r="E396" s="673">
        <v>5500</v>
      </c>
      <c r="F396" s="673"/>
      <c r="G396" s="675">
        <f t="shared" si="140"/>
        <v>0</v>
      </c>
      <c r="H396" s="675">
        <f t="shared" si="141"/>
        <v>0</v>
      </c>
    </row>
    <row r="397" spans="1:9" x14ac:dyDescent="0.25">
      <c r="A397" s="720" t="s">
        <v>352</v>
      </c>
      <c r="B397" s="721" t="s">
        <v>353</v>
      </c>
      <c r="C397" s="724">
        <f t="shared" ref="C397:D397" si="144">C398</f>
        <v>0</v>
      </c>
      <c r="D397" s="724">
        <f t="shared" si="144"/>
        <v>0</v>
      </c>
      <c r="E397" s="724">
        <f>E398</f>
        <v>40000</v>
      </c>
      <c r="F397" s="724">
        <f t="shared" ref="C397:F401" si="145">F398</f>
        <v>40000</v>
      </c>
      <c r="G397" s="725">
        <f t="shared" si="140"/>
        <v>40000</v>
      </c>
      <c r="H397" s="725">
        <f t="shared" si="141"/>
        <v>100</v>
      </c>
      <c r="I397" s="704"/>
    </row>
    <row r="398" spans="1:9" x14ac:dyDescent="0.25">
      <c r="A398" s="734">
        <v>3</v>
      </c>
      <c r="B398" s="735" t="s">
        <v>87</v>
      </c>
      <c r="C398" s="739">
        <f t="shared" si="145"/>
        <v>0</v>
      </c>
      <c r="D398" s="740">
        <f t="shared" si="145"/>
        <v>0</v>
      </c>
      <c r="E398" s="740">
        <f t="shared" si="145"/>
        <v>40000</v>
      </c>
      <c r="F398" s="740">
        <f t="shared" si="145"/>
        <v>40000</v>
      </c>
      <c r="G398" s="741">
        <f t="shared" si="140"/>
        <v>40000</v>
      </c>
      <c r="H398" s="741">
        <f t="shared" si="141"/>
        <v>100</v>
      </c>
    </row>
    <row r="399" spans="1:9" x14ac:dyDescent="0.25">
      <c r="A399" s="746">
        <v>31</v>
      </c>
      <c r="B399" s="747" t="s">
        <v>88</v>
      </c>
      <c r="C399" s="753">
        <f t="shared" si="145"/>
        <v>0</v>
      </c>
      <c r="D399" s="754">
        <f t="shared" si="145"/>
        <v>0</v>
      </c>
      <c r="E399" s="754">
        <f t="shared" si="145"/>
        <v>40000</v>
      </c>
      <c r="F399" s="754">
        <f t="shared" si="145"/>
        <v>40000</v>
      </c>
      <c r="G399" s="755">
        <f t="shared" si="140"/>
        <v>40000</v>
      </c>
      <c r="H399" s="755">
        <f t="shared" si="141"/>
        <v>100</v>
      </c>
    </row>
    <row r="400" spans="1:9" x14ac:dyDescent="0.25">
      <c r="A400" s="39">
        <v>313</v>
      </c>
      <c r="B400" s="40" t="s">
        <v>100</v>
      </c>
      <c r="C400" s="673"/>
      <c r="D400" s="673"/>
      <c r="E400" s="673">
        <f t="shared" si="145"/>
        <v>40000</v>
      </c>
      <c r="F400" s="665">
        <f t="shared" si="145"/>
        <v>40000</v>
      </c>
      <c r="G400" s="666">
        <f t="shared" si="140"/>
        <v>40000</v>
      </c>
      <c r="H400" s="666">
        <f t="shared" si="141"/>
        <v>100</v>
      </c>
    </row>
    <row r="401" spans="1:8" x14ac:dyDescent="0.25">
      <c r="A401" s="39">
        <v>3132</v>
      </c>
      <c r="B401" s="40" t="s">
        <v>101</v>
      </c>
      <c r="C401" s="673"/>
      <c r="D401" s="673"/>
      <c r="E401" s="673">
        <f t="shared" si="145"/>
        <v>40000</v>
      </c>
      <c r="F401" s="665">
        <f t="shared" si="145"/>
        <v>40000</v>
      </c>
      <c r="G401" s="666">
        <f t="shared" si="140"/>
        <v>40000</v>
      </c>
      <c r="H401" s="666">
        <f t="shared" si="141"/>
        <v>100</v>
      </c>
    </row>
    <row r="402" spans="1:8" x14ac:dyDescent="0.25">
      <c r="A402" s="41" t="s">
        <v>475</v>
      </c>
      <c r="B402" s="42" t="s">
        <v>101</v>
      </c>
      <c r="C402" s="673"/>
      <c r="D402" s="673"/>
      <c r="E402" s="673">
        <v>40000</v>
      </c>
      <c r="F402" s="673">
        <v>40000</v>
      </c>
      <c r="G402" s="675">
        <f t="shared" si="140"/>
        <v>40000</v>
      </c>
      <c r="H402" s="675">
        <f t="shared" si="141"/>
        <v>100</v>
      </c>
    </row>
    <row r="403" spans="1:8" x14ac:dyDescent="0.25">
      <c r="A403" s="720" t="s">
        <v>352</v>
      </c>
      <c r="B403" s="721" t="s">
        <v>353</v>
      </c>
      <c r="C403" s="724">
        <f t="shared" ref="C403:F404" si="146">C404</f>
        <v>20947.580000000005</v>
      </c>
      <c r="D403" s="724">
        <f t="shared" si="146"/>
        <v>0</v>
      </c>
      <c r="E403" s="724">
        <f t="shared" si="146"/>
        <v>40000</v>
      </c>
      <c r="F403" s="724">
        <f t="shared" si="146"/>
        <v>40000</v>
      </c>
      <c r="G403" s="725">
        <f t="shared" si="140"/>
        <v>40000</v>
      </c>
      <c r="H403" s="725">
        <f t="shared" si="141"/>
        <v>100</v>
      </c>
    </row>
    <row r="404" spans="1:8" x14ac:dyDescent="0.25">
      <c r="A404" s="738" t="s">
        <v>86</v>
      </c>
      <c r="B404" s="735" t="s">
        <v>87</v>
      </c>
      <c r="C404" s="736">
        <f t="shared" si="146"/>
        <v>20947.580000000005</v>
      </c>
      <c r="D404" s="736">
        <f t="shared" si="146"/>
        <v>0</v>
      </c>
      <c r="E404" s="736">
        <f t="shared" si="146"/>
        <v>40000</v>
      </c>
      <c r="F404" s="736">
        <f t="shared" si="146"/>
        <v>40000</v>
      </c>
      <c r="G404" s="737">
        <f t="shared" si="140"/>
        <v>40000</v>
      </c>
      <c r="H404" s="737">
        <f t="shared" si="141"/>
        <v>100</v>
      </c>
    </row>
    <row r="405" spans="1:8" x14ac:dyDescent="0.25">
      <c r="A405" s="746">
        <v>32</v>
      </c>
      <c r="B405" s="747" t="s">
        <v>102</v>
      </c>
      <c r="C405" s="748">
        <f>C406+C416+C426+C430</f>
        <v>20947.580000000005</v>
      </c>
      <c r="D405" s="748">
        <f t="shared" ref="D405:F405" si="147">D406+D416+D426+D430</f>
        <v>0</v>
      </c>
      <c r="E405" s="748">
        <f t="shared" si="147"/>
        <v>40000</v>
      </c>
      <c r="F405" s="748">
        <f t="shared" si="147"/>
        <v>40000</v>
      </c>
      <c r="G405" s="749">
        <f t="shared" si="140"/>
        <v>40000</v>
      </c>
      <c r="H405" s="749">
        <f t="shared" si="141"/>
        <v>100</v>
      </c>
    </row>
    <row r="406" spans="1:8" x14ac:dyDescent="0.25">
      <c r="A406" s="39" t="s">
        <v>112</v>
      </c>
      <c r="B406" s="40" t="s">
        <v>113</v>
      </c>
      <c r="C406" s="665">
        <f t="shared" ref="C406" si="148">C407+C410+C412+C415</f>
        <v>16672.780000000002</v>
      </c>
      <c r="D406" s="665">
        <f t="shared" ref="D406:F406" si="149">D407+D410+D412+D415</f>
        <v>0</v>
      </c>
      <c r="E406" s="665">
        <f t="shared" si="149"/>
        <v>4000</v>
      </c>
      <c r="F406" s="665">
        <f t="shared" si="149"/>
        <v>0</v>
      </c>
      <c r="G406" s="666">
        <f t="shared" si="140"/>
        <v>0</v>
      </c>
      <c r="H406" s="666">
        <f t="shared" si="141"/>
        <v>0</v>
      </c>
    </row>
    <row r="407" spans="1:8" x14ac:dyDescent="0.25">
      <c r="A407" s="39" t="s">
        <v>114</v>
      </c>
      <c r="B407" s="40" t="s">
        <v>115</v>
      </c>
      <c r="C407" s="665">
        <f t="shared" ref="C407:D407" si="150">C408+C409</f>
        <v>1543.88</v>
      </c>
      <c r="D407" s="665">
        <f t="shared" si="150"/>
        <v>0</v>
      </c>
      <c r="E407" s="665">
        <f>E408+E409</f>
        <v>4000</v>
      </c>
      <c r="F407" s="665">
        <f>F408+F409</f>
        <v>0</v>
      </c>
      <c r="G407" s="666">
        <f t="shared" si="140"/>
        <v>0</v>
      </c>
      <c r="H407" s="666">
        <f t="shared" si="141"/>
        <v>0</v>
      </c>
    </row>
    <row r="408" spans="1:8" x14ac:dyDescent="0.25">
      <c r="A408" s="41" t="s">
        <v>497</v>
      </c>
      <c r="B408" s="42" t="s">
        <v>394</v>
      </c>
      <c r="C408" s="673">
        <v>1228.8800000000001</v>
      </c>
      <c r="D408" s="673"/>
      <c r="E408" s="673">
        <v>2000</v>
      </c>
      <c r="F408" s="673"/>
      <c r="G408" s="675">
        <f t="shared" si="140"/>
        <v>0</v>
      </c>
      <c r="H408" s="675">
        <f t="shared" si="141"/>
        <v>0</v>
      </c>
    </row>
    <row r="409" spans="1:8" x14ac:dyDescent="0.25">
      <c r="A409" s="41" t="s">
        <v>518</v>
      </c>
      <c r="B409" s="42" t="s">
        <v>396</v>
      </c>
      <c r="C409" s="673">
        <v>315</v>
      </c>
      <c r="D409" s="673"/>
      <c r="E409" s="673">
        <v>2000</v>
      </c>
      <c r="F409" s="673"/>
      <c r="G409" s="675">
        <f t="shared" si="140"/>
        <v>0</v>
      </c>
      <c r="H409" s="675">
        <f t="shared" si="141"/>
        <v>0</v>
      </c>
    </row>
    <row r="410" spans="1:8" x14ac:dyDescent="0.25">
      <c r="A410" s="39" t="s">
        <v>116</v>
      </c>
      <c r="B410" s="40" t="s">
        <v>117</v>
      </c>
      <c r="C410" s="665">
        <f>C411</f>
        <v>12071.02</v>
      </c>
      <c r="D410" s="665">
        <f t="shared" ref="D410:F410" si="151">D411</f>
        <v>0</v>
      </c>
      <c r="E410" s="665">
        <f t="shared" si="151"/>
        <v>0</v>
      </c>
      <c r="F410" s="665">
        <f t="shared" si="151"/>
        <v>0</v>
      </c>
      <c r="G410" s="666">
        <f t="shared" si="140"/>
        <v>0</v>
      </c>
      <c r="H410" s="666">
        <f t="shared" si="141"/>
        <v>0</v>
      </c>
    </row>
    <row r="411" spans="1:8" x14ac:dyDescent="0.25">
      <c r="A411" s="41" t="s">
        <v>478</v>
      </c>
      <c r="B411" s="42" t="s">
        <v>399</v>
      </c>
      <c r="C411" s="673">
        <v>12071.02</v>
      </c>
      <c r="D411" s="673"/>
      <c r="E411" s="673"/>
      <c r="F411" s="673">
        <v>0</v>
      </c>
      <c r="G411" s="675">
        <f t="shared" si="140"/>
        <v>0</v>
      </c>
      <c r="H411" s="675">
        <f t="shared" si="141"/>
        <v>0</v>
      </c>
    </row>
    <row r="412" spans="1:8" x14ac:dyDescent="0.25">
      <c r="A412" s="39" t="s">
        <v>118</v>
      </c>
      <c r="B412" s="40" t="s">
        <v>119</v>
      </c>
      <c r="C412" s="665">
        <f>SUM(C413:C414)</f>
        <v>3057.8799999999997</v>
      </c>
      <c r="D412" s="665"/>
      <c r="E412" s="665">
        <f>E413+E414</f>
        <v>0</v>
      </c>
      <c r="F412" s="665">
        <f>F413+F414</f>
        <v>0</v>
      </c>
      <c r="G412" s="666">
        <f t="shared" si="140"/>
        <v>0</v>
      </c>
      <c r="H412" s="666">
        <f t="shared" si="141"/>
        <v>0</v>
      </c>
    </row>
    <row r="413" spans="1:8" x14ac:dyDescent="0.25">
      <c r="A413" s="41" t="s">
        <v>481</v>
      </c>
      <c r="B413" s="42" t="s">
        <v>403</v>
      </c>
      <c r="C413" s="673">
        <v>2416.9899999999998</v>
      </c>
      <c r="D413" s="673"/>
      <c r="E413" s="673"/>
      <c r="F413" s="673">
        <v>0</v>
      </c>
      <c r="G413" s="675">
        <f t="shared" si="140"/>
        <v>0</v>
      </c>
      <c r="H413" s="675">
        <f t="shared" si="141"/>
        <v>0</v>
      </c>
    </row>
    <row r="414" spans="1:8" x14ac:dyDescent="0.25">
      <c r="A414" s="41" t="s">
        <v>483</v>
      </c>
      <c r="B414" s="42" t="s">
        <v>405</v>
      </c>
      <c r="C414" s="673">
        <v>640.89</v>
      </c>
      <c r="D414" s="673"/>
      <c r="E414" s="673"/>
      <c r="F414" s="673">
        <v>0</v>
      </c>
      <c r="G414" s="675">
        <f t="shared" si="140"/>
        <v>0</v>
      </c>
      <c r="H414" s="675">
        <f t="shared" si="141"/>
        <v>0</v>
      </c>
    </row>
    <row r="415" spans="1:8" hidden="1" x14ac:dyDescent="0.25">
      <c r="A415" s="39" t="s">
        <v>120</v>
      </c>
      <c r="B415" s="40" t="s">
        <v>321</v>
      </c>
      <c r="C415" s="665"/>
      <c r="D415" s="665"/>
      <c r="E415" s="665"/>
      <c r="F415" s="665"/>
      <c r="G415" s="666">
        <f t="shared" si="140"/>
        <v>0</v>
      </c>
      <c r="H415" s="666">
        <f t="shared" si="141"/>
        <v>0</v>
      </c>
    </row>
    <row r="416" spans="1:8" x14ac:dyDescent="0.25">
      <c r="A416" s="39" t="s">
        <v>126</v>
      </c>
      <c r="B416" s="40" t="s">
        <v>127</v>
      </c>
      <c r="C416" s="665">
        <f t="shared" ref="C416:D416" si="152">C417+C419+C421+C423</f>
        <v>2956.9</v>
      </c>
      <c r="D416" s="665">
        <f t="shared" si="152"/>
        <v>0</v>
      </c>
      <c r="E416" s="665">
        <f>E417+E419+E421+E423</f>
        <v>10000</v>
      </c>
      <c r="F416" s="665">
        <f>F417+F419+F421+F423</f>
        <v>1553.66</v>
      </c>
      <c r="G416" s="666">
        <f t="shared" si="140"/>
        <v>1553.66</v>
      </c>
      <c r="H416" s="666">
        <f t="shared" si="141"/>
        <v>15.5366</v>
      </c>
    </row>
    <row r="417" spans="1:8" x14ac:dyDescent="0.25">
      <c r="A417" s="39" t="s">
        <v>128</v>
      </c>
      <c r="B417" s="40" t="s">
        <v>129</v>
      </c>
      <c r="C417" s="665">
        <f t="shared" ref="C417:F417" si="153">C418</f>
        <v>0</v>
      </c>
      <c r="D417" s="665">
        <f t="shared" si="153"/>
        <v>0</v>
      </c>
      <c r="E417" s="665">
        <f t="shared" si="153"/>
        <v>3000</v>
      </c>
      <c r="F417" s="665">
        <f t="shared" si="153"/>
        <v>1553.66</v>
      </c>
      <c r="G417" s="666">
        <f t="shared" si="140"/>
        <v>1553.66</v>
      </c>
      <c r="H417" s="666">
        <f t="shared" si="141"/>
        <v>51.788666666666671</v>
      </c>
    </row>
    <row r="418" spans="1:8" x14ac:dyDescent="0.25">
      <c r="A418" s="41" t="s">
        <v>487</v>
      </c>
      <c r="B418" s="42" t="s">
        <v>410</v>
      </c>
      <c r="C418" s="673"/>
      <c r="D418" s="673"/>
      <c r="E418" s="673">
        <v>3000</v>
      </c>
      <c r="F418" s="673">
        <v>1553.66</v>
      </c>
      <c r="G418" s="675">
        <f t="shared" si="140"/>
        <v>1553.66</v>
      </c>
      <c r="H418" s="675">
        <f t="shared" si="141"/>
        <v>51.788666666666671</v>
      </c>
    </row>
    <row r="419" spans="1:8" x14ac:dyDescent="0.25">
      <c r="A419" s="39" t="s">
        <v>217</v>
      </c>
      <c r="B419" s="40" t="s">
        <v>137</v>
      </c>
      <c r="C419" s="665">
        <f>C420</f>
        <v>1399.02</v>
      </c>
      <c r="D419" s="665"/>
      <c r="E419" s="665">
        <f>E420</f>
        <v>7000</v>
      </c>
      <c r="F419" s="665">
        <f>F420</f>
        <v>0</v>
      </c>
      <c r="G419" s="666">
        <f t="shared" si="140"/>
        <v>0</v>
      </c>
      <c r="H419" s="666">
        <f t="shared" si="141"/>
        <v>0</v>
      </c>
    </row>
    <row r="420" spans="1:8" x14ac:dyDescent="0.25">
      <c r="A420" s="41" t="s">
        <v>498</v>
      </c>
      <c r="B420" s="42" t="s">
        <v>421</v>
      </c>
      <c r="C420" s="673">
        <v>1399.02</v>
      </c>
      <c r="D420" s="673"/>
      <c r="E420" s="673">
        <v>7000</v>
      </c>
      <c r="F420" s="673"/>
      <c r="G420" s="675">
        <f t="shared" si="140"/>
        <v>0</v>
      </c>
      <c r="H420" s="675">
        <f t="shared" si="141"/>
        <v>0</v>
      </c>
    </row>
    <row r="421" spans="1:8" x14ac:dyDescent="0.25">
      <c r="A421" s="39" t="s">
        <v>218</v>
      </c>
      <c r="B421" s="40" t="s">
        <v>138</v>
      </c>
      <c r="C421" s="665">
        <f>C422</f>
        <v>1250</v>
      </c>
      <c r="D421" s="665"/>
      <c r="E421" s="665">
        <f>E422</f>
        <v>0</v>
      </c>
      <c r="F421" s="665">
        <f>F422</f>
        <v>0</v>
      </c>
      <c r="G421" s="666">
        <f t="shared" si="140"/>
        <v>0</v>
      </c>
      <c r="H421" s="666">
        <f t="shared" si="141"/>
        <v>0</v>
      </c>
    </row>
    <row r="422" spans="1:8" x14ac:dyDescent="0.25">
      <c r="A422" s="41">
        <v>32379</v>
      </c>
      <c r="B422" s="42" t="s">
        <v>490</v>
      </c>
      <c r="C422" s="673">
        <v>1250</v>
      </c>
      <c r="D422" s="673"/>
      <c r="E422" s="673"/>
      <c r="F422" s="673">
        <v>0</v>
      </c>
      <c r="G422" s="675">
        <f t="shared" si="140"/>
        <v>0</v>
      </c>
      <c r="H422" s="675">
        <f t="shared" si="141"/>
        <v>0</v>
      </c>
    </row>
    <row r="423" spans="1:8" x14ac:dyDescent="0.25">
      <c r="A423" s="39" t="s">
        <v>141</v>
      </c>
      <c r="B423" s="40" t="s">
        <v>142</v>
      </c>
      <c r="C423" s="665">
        <f>SUM(C424:C425)</f>
        <v>307.88</v>
      </c>
      <c r="D423" s="665"/>
      <c r="E423" s="665">
        <f>E424</f>
        <v>0</v>
      </c>
      <c r="F423" s="665">
        <f>F424+F425</f>
        <v>0</v>
      </c>
      <c r="G423" s="666">
        <f t="shared" si="140"/>
        <v>0</v>
      </c>
      <c r="H423" s="666">
        <f t="shared" si="141"/>
        <v>0</v>
      </c>
    </row>
    <row r="424" spans="1:8" x14ac:dyDescent="0.25">
      <c r="A424" s="41" t="s">
        <v>598</v>
      </c>
      <c r="B424" s="42" t="s">
        <v>425</v>
      </c>
      <c r="C424" s="673">
        <v>237.88</v>
      </c>
      <c r="D424" s="673"/>
      <c r="E424" s="673"/>
      <c r="F424" s="673">
        <v>0</v>
      </c>
      <c r="G424" s="675">
        <f t="shared" si="140"/>
        <v>0</v>
      </c>
      <c r="H424" s="675">
        <f t="shared" si="141"/>
        <v>0</v>
      </c>
    </row>
    <row r="425" spans="1:8" x14ac:dyDescent="0.25">
      <c r="A425" s="41" t="s">
        <v>500</v>
      </c>
      <c r="B425" s="42" t="s">
        <v>305</v>
      </c>
      <c r="C425" s="673">
        <v>70</v>
      </c>
      <c r="D425" s="673"/>
      <c r="E425" s="673"/>
      <c r="F425" s="673"/>
      <c r="G425" s="675">
        <f t="shared" si="140"/>
        <v>0</v>
      </c>
      <c r="H425" s="675">
        <f t="shared" si="141"/>
        <v>0</v>
      </c>
    </row>
    <row r="426" spans="1:8" x14ac:dyDescent="0.25">
      <c r="A426" s="39" t="s">
        <v>609</v>
      </c>
      <c r="B426" s="40" t="s">
        <v>127</v>
      </c>
      <c r="C426" s="665">
        <f t="shared" ref="C426:F426" si="154">C427</f>
        <v>0</v>
      </c>
      <c r="D426" s="665">
        <f t="shared" si="154"/>
        <v>0</v>
      </c>
      <c r="E426" s="665">
        <f t="shared" si="154"/>
        <v>26000</v>
      </c>
      <c r="F426" s="665">
        <f t="shared" si="154"/>
        <v>38446.339999999997</v>
      </c>
      <c r="G426" s="666">
        <f t="shared" si="140"/>
        <v>38446.339999999997</v>
      </c>
      <c r="H426" s="666">
        <f t="shared" si="141"/>
        <v>147.87053846153844</v>
      </c>
    </row>
    <row r="427" spans="1:8" x14ac:dyDescent="0.25">
      <c r="A427" s="39" t="s">
        <v>610</v>
      </c>
      <c r="B427" s="40" t="s">
        <v>142</v>
      </c>
      <c r="C427" s="665">
        <f t="shared" ref="C427:D427" si="155">C428+C429</f>
        <v>0</v>
      </c>
      <c r="D427" s="665">
        <f t="shared" si="155"/>
        <v>0</v>
      </c>
      <c r="E427" s="665">
        <f t="shared" ref="E427:F427" si="156">E428+E429</f>
        <v>26000</v>
      </c>
      <c r="F427" s="665">
        <f t="shared" si="156"/>
        <v>38446.339999999997</v>
      </c>
      <c r="G427" s="666">
        <f t="shared" si="140"/>
        <v>38446.339999999997</v>
      </c>
      <c r="H427" s="666">
        <f t="shared" si="141"/>
        <v>147.87053846153844</v>
      </c>
    </row>
    <row r="428" spans="1:8" x14ac:dyDescent="0.25">
      <c r="A428" s="41" t="s">
        <v>611</v>
      </c>
      <c r="B428" s="42" t="s">
        <v>613</v>
      </c>
      <c r="C428" s="673"/>
      <c r="D428" s="673"/>
      <c r="E428" s="673">
        <v>4000</v>
      </c>
      <c r="F428" s="673"/>
      <c r="G428" s="675">
        <f t="shared" si="140"/>
        <v>0</v>
      </c>
      <c r="H428" s="675">
        <f t="shared" si="141"/>
        <v>0</v>
      </c>
    </row>
    <row r="429" spans="1:8" x14ac:dyDescent="0.25">
      <c r="A429" s="41" t="s">
        <v>612</v>
      </c>
      <c r="B429" s="42" t="s">
        <v>614</v>
      </c>
      <c r="C429" s="673"/>
      <c r="D429" s="673"/>
      <c r="E429" s="673">
        <v>22000</v>
      </c>
      <c r="F429" s="673">
        <v>38446.339999999997</v>
      </c>
      <c r="G429" s="675">
        <f t="shared" si="140"/>
        <v>38446.339999999997</v>
      </c>
      <c r="H429" s="675">
        <f t="shared" si="141"/>
        <v>174.75609090909089</v>
      </c>
    </row>
    <row r="430" spans="1:8" s="663" customFormat="1" x14ac:dyDescent="0.25">
      <c r="A430" s="39" t="s">
        <v>219</v>
      </c>
      <c r="B430" s="40" t="s">
        <v>144</v>
      </c>
      <c r="C430" s="665">
        <f>C431+C433+C435</f>
        <v>1317.9</v>
      </c>
      <c r="D430" s="665">
        <f t="shared" ref="D430:F430" si="157">D431+D433+D435</f>
        <v>0</v>
      </c>
      <c r="E430" s="665">
        <f t="shared" si="157"/>
        <v>0</v>
      </c>
      <c r="F430" s="665">
        <f t="shared" si="157"/>
        <v>0</v>
      </c>
      <c r="G430" s="666">
        <f t="shared" si="140"/>
        <v>0</v>
      </c>
      <c r="H430" s="666">
        <f t="shared" si="141"/>
        <v>0</v>
      </c>
    </row>
    <row r="431" spans="1:8" s="663" customFormat="1" x14ac:dyDescent="0.25">
      <c r="A431" s="39" t="s">
        <v>231</v>
      </c>
      <c r="B431" s="40" t="s">
        <v>147</v>
      </c>
      <c r="C431" s="665">
        <f>C432</f>
        <v>250.01</v>
      </c>
      <c r="D431" s="665">
        <f t="shared" ref="D431:F431" si="158">D432</f>
        <v>0</v>
      </c>
      <c r="E431" s="665">
        <f t="shared" si="158"/>
        <v>0</v>
      </c>
      <c r="F431" s="665">
        <f t="shared" si="158"/>
        <v>0</v>
      </c>
      <c r="G431" s="666">
        <f t="shared" si="140"/>
        <v>0</v>
      </c>
      <c r="H431" s="666">
        <f t="shared" si="141"/>
        <v>0</v>
      </c>
    </row>
    <row r="432" spans="1:8" x14ac:dyDescent="0.25">
      <c r="A432" s="41" t="s">
        <v>599</v>
      </c>
      <c r="B432" s="42" t="s">
        <v>621</v>
      </c>
      <c r="C432" s="673">
        <v>250.01</v>
      </c>
      <c r="D432" s="673"/>
      <c r="E432" s="673"/>
      <c r="F432" s="673"/>
      <c r="G432" s="675">
        <f t="shared" si="140"/>
        <v>0</v>
      </c>
      <c r="H432" s="675">
        <f t="shared" si="141"/>
        <v>0</v>
      </c>
    </row>
    <row r="433" spans="1:8" s="663" customFormat="1" x14ac:dyDescent="0.25">
      <c r="A433" s="39" t="s">
        <v>221</v>
      </c>
      <c r="B433" s="40" t="s">
        <v>148</v>
      </c>
      <c r="C433" s="665">
        <f>C434</f>
        <v>877.58</v>
      </c>
      <c r="D433" s="665">
        <f t="shared" ref="D433:F433" si="159">D434</f>
        <v>0</v>
      </c>
      <c r="E433" s="665">
        <f t="shared" si="159"/>
        <v>0</v>
      </c>
      <c r="F433" s="665">
        <f t="shared" si="159"/>
        <v>0</v>
      </c>
      <c r="G433" s="666">
        <f t="shared" si="140"/>
        <v>0</v>
      </c>
      <c r="H433" s="666">
        <f t="shared" si="141"/>
        <v>0</v>
      </c>
    </row>
    <row r="434" spans="1:8" x14ac:dyDescent="0.25">
      <c r="A434" s="41" t="s">
        <v>532</v>
      </c>
      <c r="B434" s="42" t="s">
        <v>148</v>
      </c>
      <c r="C434" s="673">
        <v>877.58</v>
      </c>
      <c r="D434" s="673"/>
      <c r="E434" s="673"/>
      <c r="F434" s="673"/>
      <c r="G434" s="675">
        <f t="shared" si="140"/>
        <v>0</v>
      </c>
      <c r="H434" s="675">
        <f t="shared" si="141"/>
        <v>0</v>
      </c>
    </row>
    <row r="435" spans="1:8" s="663" customFormat="1" x14ac:dyDescent="0.25">
      <c r="A435" s="39" t="s">
        <v>152</v>
      </c>
      <c r="B435" s="40" t="s">
        <v>144</v>
      </c>
      <c r="C435" s="665">
        <f>C436</f>
        <v>190.31</v>
      </c>
      <c r="D435" s="665">
        <f t="shared" ref="D435:F435" si="160">D436</f>
        <v>0</v>
      </c>
      <c r="E435" s="665">
        <f t="shared" si="160"/>
        <v>0</v>
      </c>
      <c r="F435" s="665">
        <f t="shared" si="160"/>
        <v>0</v>
      </c>
      <c r="G435" s="666">
        <f t="shared" si="140"/>
        <v>0</v>
      </c>
      <c r="H435" s="666">
        <f t="shared" si="141"/>
        <v>0</v>
      </c>
    </row>
    <row r="436" spans="1:8" x14ac:dyDescent="0.25">
      <c r="A436" s="41" t="s">
        <v>600</v>
      </c>
      <c r="B436" s="42" t="s">
        <v>144</v>
      </c>
      <c r="C436" s="673">
        <v>190.31</v>
      </c>
      <c r="D436" s="673"/>
      <c r="E436" s="673"/>
      <c r="F436" s="673"/>
      <c r="G436" s="675">
        <f t="shared" si="140"/>
        <v>0</v>
      </c>
      <c r="H436" s="675">
        <f t="shared" si="141"/>
        <v>0</v>
      </c>
    </row>
    <row r="437" spans="1:8" x14ac:dyDescent="0.25">
      <c r="A437" s="720" t="s">
        <v>352</v>
      </c>
      <c r="B437" s="721" t="s">
        <v>353</v>
      </c>
      <c r="C437" s="724">
        <f t="shared" ref="C437:C441" si="161">C438</f>
        <v>0</v>
      </c>
      <c r="D437" s="724">
        <f t="shared" ref="D437:D441" si="162">D438</f>
        <v>0</v>
      </c>
      <c r="E437" s="724">
        <f t="shared" ref="E437:F441" si="163">E438</f>
        <v>20000</v>
      </c>
      <c r="F437" s="724">
        <f t="shared" si="163"/>
        <v>20000</v>
      </c>
      <c r="G437" s="725">
        <f t="shared" si="140"/>
        <v>20000</v>
      </c>
      <c r="H437" s="725">
        <f t="shared" si="141"/>
        <v>100</v>
      </c>
    </row>
    <row r="438" spans="1:8" x14ac:dyDescent="0.25">
      <c r="A438" s="738" t="s">
        <v>86</v>
      </c>
      <c r="B438" s="735" t="s">
        <v>87</v>
      </c>
      <c r="C438" s="736">
        <f t="shared" si="161"/>
        <v>0</v>
      </c>
      <c r="D438" s="736">
        <f t="shared" si="162"/>
        <v>0</v>
      </c>
      <c r="E438" s="736">
        <f t="shared" si="163"/>
        <v>20000</v>
      </c>
      <c r="F438" s="736">
        <f t="shared" si="163"/>
        <v>20000</v>
      </c>
      <c r="G438" s="737">
        <f t="shared" si="140"/>
        <v>20000</v>
      </c>
      <c r="H438" s="737">
        <f t="shared" si="141"/>
        <v>100</v>
      </c>
    </row>
    <row r="439" spans="1:8" x14ac:dyDescent="0.25">
      <c r="A439" s="746">
        <v>32</v>
      </c>
      <c r="B439" s="747" t="s">
        <v>102</v>
      </c>
      <c r="C439" s="748">
        <f t="shared" si="161"/>
        <v>0</v>
      </c>
      <c r="D439" s="748">
        <f t="shared" si="162"/>
        <v>0</v>
      </c>
      <c r="E439" s="748">
        <f t="shared" si="163"/>
        <v>20000</v>
      </c>
      <c r="F439" s="748">
        <f t="shared" si="163"/>
        <v>20000</v>
      </c>
      <c r="G439" s="749">
        <f t="shared" si="140"/>
        <v>20000</v>
      </c>
      <c r="H439" s="749">
        <f t="shared" si="141"/>
        <v>100</v>
      </c>
    </row>
    <row r="440" spans="1:8" x14ac:dyDescent="0.25">
      <c r="A440" s="39" t="s">
        <v>609</v>
      </c>
      <c r="B440" s="40" t="s">
        <v>127</v>
      </c>
      <c r="C440" s="665">
        <f t="shared" si="161"/>
        <v>0</v>
      </c>
      <c r="D440" s="665">
        <f t="shared" si="162"/>
        <v>0</v>
      </c>
      <c r="E440" s="665">
        <f t="shared" si="163"/>
        <v>20000</v>
      </c>
      <c r="F440" s="665">
        <f t="shared" si="163"/>
        <v>20000</v>
      </c>
      <c r="G440" s="666">
        <f t="shared" si="140"/>
        <v>20000</v>
      </c>
      <c r="H440" s="666">
        <f t="shared" si="141"/>
        <v>100</v>
      </c>
    </row>
    <row r="441" spans="1:8" x14ac:dyDescent="0.25">
      <c r="A441" s="39" t="s">
        <v>610</v>
      </c>
      <c r="B441" s="40" t="s">
        <v>142</v>
      </c>
      <c r="C441" s="665">
        <f t="shared" si="161"/>
        <v>0</v>
      </c>
      <c r="D441" s="665">
        <f t="shared" si="162"/>
        <v>0</v>
      </c>
      <c r="E441" s="665">
        <f t="shared" si="163"/>
        <v>20000</v>
      </c>
      <c r="F441" s="665">
        <f t="shared" si="163"/>
        <v>20000</v>
      </c>
      <c r="G441" s="666">
        <f t="shared" si="140"/>
        <v>20000</v>
      </c>
      <c r="H441" s="666">
        <f t="shared" si="141"/>
        <v>100</v>
      </c>
    </row>
    <row r="442" spans="1:8" x14ac:dyDescent="0.25">
      <c r="A442" s="41" t="s">
        <v>612</v>
      </c>
      <c r="B442" s="42" t="s">
        <v>614</v>
      </c>
      <c r="C442" s="673"/>
      <c r="D442" s="673"/>
      <c r="E442" s="673">
        <v>20000</v>
      </c>
      <c r="F442" s="673">
        <v>20000</v>
      </c>
      <c r="G442" s="675">
        <f t="shared" si="140"/>
        <v>20000</v>
      </c>
      <c r="H442" s="675">
        <f t="shared" si="141"/>
        <v>100</v>
      </c>
    </row>
    <row r="443" spans="1:8" x14ac:dyDescent="0.25">
      <c r="A443" s="720" t="s">
        <v>352</v>
      </c>
      <c r="B443" s="721" t="s">
        <v>353</v>
      </c>
      <c r="C443" s="724">
        <f t="shared" ref="C443:F444" si="164">C444</f>
        <v>0</v>
      </c>
      <c r="D443" s="724">
        <f t="shared" si="164"/>
        <v>0</v>
      </c>
      <c r="E443" s="724">
        <f t="shared" si="164"/>
        <v>150000</v>
      </c>
      <c r="F443" s="724">
        <f t="shared" si="164"/>
        <v>150000</v>
      </c>
      <c r="G443" s="725">
        <f t="shared" si="140"/>
        <v>150000</v>
      </c>
      <c r="H443" s="725">
        <f t="shared" si="141"/>
        <v>100</v>
      </c>
    </row>
    <row r="444" spans="1:8" x14ac:dyDescent="0.25">
      <c r="A444" s="738" t="s">
        <v>86</v>
      </c>
      <c r="B444" s="735" t="s">
        <v>87</v>
      </c>
      <c r="C444" s="736">
        <f t="shared" si="164"/>
        <v>0</v>
      </c>
      <c r="D444" s="736">
        <f t="shared" si="164"/>
        <v>0</v>
      </c>
      <c r="E444" s="736">
        <f t="shared" si="164"/>
        <v>150000</v>
      </c>
      <c r="F444" s="736">
        <f t="shared" si="164"/>
        <v>150000</v>
      </c>
      <c r="G444" s="737">
        <f t="shared" si="140"/>
        <v>150000</v>
      </c>
      <c r="H444" s="737">
        <f t="shared" si="141"/>
        <v>100</v>
      </c>
    </row>
    <row r="445" spans="1:8" x14ac:dyDescent="0.25">
      <c r="A445" s="746">
        <v>32</v>
      </c>
      <c r="B445" s="747" t="s">
        <v>102</v>
      </c>
      <c r="C445" s="748">
        <f>C446+C449+C466+C479+C483</f>
        <v>0</v>
      </c>
      <c r="D445" s="748">
        <f t="shared" ref="D445:F445" si="165">D446+D449+D466+D479+D483</f>
        <v>0</v>
      </c>
      <c r="E445" s="748">
        <f t="shared" si="165"/>
        <v>150000</v>
      </c>
      <c r="F445" s="748">
        <f t="shared" si="165"/>
        <v>150000</v>
      </c>
      <c r="G445" s="749">
        <f t="shared" si="140"/>
        <v>150000</v>
      </c>
      <c r="H445" s="749">
        <f t="shared" si="141"/>
        <v>100</v>
      </c>
    </row>
    <row r="446" spans="1:8" x14ac:dyDescent="0.25">
      <c r="A446" s="39" t="s">
        <v>215</v>
      </c>
      <c r="B446" s="51" t="s">
        <v>103</v>
      </c>
      <c r="C446" s="665">
        <f>C447</f>
        <v>0</v>
      </c>
      <c r="D446" s="665">
        <f t="shared" ref="D446:F447" si="166">D447</f>
        <v>0</v>
      </c>
      <c r="E446" s="665">
        <f t="shared" si="166"/>
        <v>0</v>
      </c>
      <c r="F446" s="665">
        <f t="shared" si="166"/>
        <v>231.25</v>
      </c>
      <c r="G446" s="666">
        <f t="shared" si="140"/>
        <v>231.25</v>
      </c>
      <c r="H446" s="666">
        <f t="shared" si="141"/>
        <v>231.25</v>
      </c>
    </row>
    <row r="447" spans="1:8" x14ac:dyDescent="0.25">
      <c r="A447" s="39" t="s">
        <v>108</v>
      </c>
      <c r="B447" s="51" t="s">
        <v>109</v>
      </c>
      <c r="C447" s="665">
        <f>C448</f>
        <v>0</v>
      </c>
      <c r="D447" s="665">
        <f t="shared" si="166"/>
        <v>0</v>
      </c>
      <c r="E447" s="665">
        <f t="shared" si="166"/>
        <v>0</v>
      </c>
      <c r="F447" s="665">
        <f t="shared" si="166"/>
        <v>231.25</v>
      </c>
      <c r="G447" s="666">
        <f t="shared" si="140"/>
        <v>231.25</v>
      </c>
      <c r="H447" s="666">
        <f t="shared" si="141"/>
        <v>231.25</v>
      </c>
    </row>
    <row r="448" spans="1:8" x14ac:dyDescent="0.25">
      <c r="A448" s="41">
        <v>32131</v>
      </c>
      <c r="B448" s="56" t="s">
        <v>391</v>
      </c>
      <c r="C448" s="673">
        <v>0</v>
      </c>
      <c r="D448" s="673">
        <v>0</v>
      </c>
      <c r="E448" s="673">
        <v>0</v>
      </c>
      <c r="F448" s="673">
        <v>231.25</v>
      </c>
      <c r="G448" s="675">
        <f t="shared" si="140"/>
        <v>231.25</v>
      </c>
      <c r="H448" s="675">
        <f t="shared" si="141"/>
        <v>231.25</v>
      </c>
    </row>
    <row r="449" spans="1:8" x14ac:dyDescent="0.25">
      <c r="A449" s="39" t="s">
        <v>112</v>
      </c>
      <c r="B449" s="51" t="s">
        <v>113</v>
      </c>
      <c r="C449" s="665">
        <f>C450+C454+C459+C462+C464</f>
        <v>0</v>
      </c>
      <c r="D449" s="665">
        <f t="shared" ref="D449:F449" si="167">D450+D454+D459+D462+D464</f>
        <v>0</v>
      </c>
      <c r="E449" s="665">
        <f t="shared" si="167"/>
        <v>0</v>
      </c>
      <c r="F449" s="665">
        <f t="shared" si="167"/>
        <v>29248.649999999998</v>
      </c>
      <c r="G449" s="666">
        <f t="shared" si="140"/>
        <v>29248.649999999998</v>
      </c>
      <c r="H449" s="666">
        <f t="shared" si="141"/>
        <v>29248.649999999998</v>
      </c>
    </row>
    <row r="450" spans="1:8" x14ac:dyDescent="0.25">
      <c r="A450" s="39" t="s">
        <v>114</v>
      </c>
      <c r="B450" s="51" t="s">
        <v>115</v>
      </c>
      <c r="C450" s="665">
        <f>C451+C452+C453</f>
        <v>0</v>
      </c>
      <c r="D450" s="665">
        <f t="shared" ref="D450:E450" si="168">D451+D452+D453</f>
        <v>0</v>
      </c>
      <c r="E450" s="665">
        <f t="shared" si="168"/>
        <v>0</v>
      </c>
      <c r="F450" s="665">
        <f>F451+F452+F453</f>
        <v>9833.06</v>
      </c>
      <c r="G450" s="666">
        <f t="shared" si="140"/>
        <v>9833.06</v>
      </c>
      <c r="H450" s="666">
        <f t="shared" si="141"/>
        <v>9833.06</v>
      </c>
    </row>
    <row r="451" spans="1:8" x14ac:dyDescent="0.25">
      <c r="A451" s="41" t="s">
        <v>497</v>
      </c>
      <c r="B451" s="56" t="s">
        <v>394</v>
      </c>
      <c r="C451" s="673">
        <v>0</v>
      </c>
      <c r="D451" s="673">
        <v>0</v>
      </c>
      <c r="E451" s="673">
        <v>0</v>
      </c>
      <c r="F451" s="673">
        <v>2747.52</v>
      </c>
      <c r="G451" s="675">
        <f t="shared" si="140"/>
        <v>2747.52</v>
      </c>
      <c r="H451" s="675">
        <f t="shared" si="141"/>
        <v>2747.52</v>
      </c>
    </row>
    <row r="452" spans="1:8" x14ac:dyDescent="0.25">
      <c r="A452" s="41" t="s">
        <v>518</v>
      </c>
      <c r="B452" s="56" t="s">
        <v>396</v>
      </c>
      <c r="C452" s="673">
        <v>0</v>
      </c>
      <c r="D452" s="673">
        <v>0</v>
      </c>
      <c r="E452" s="673">
        <v>0</v>
      </c>
      <c r="F452" s="673">
        <v>4803.3599999999997</v>
      </c>
      <c r="G452" s="675">
        <f t="shared" si="140"/>
        <v>4803.3599999999997</v>
      </c>
      <c r="H452" s="675">
        <f t="shared" si="141"/>
        <v>4803.3599999999997</v>
      </c>
    </row>
    <row r="453" spans="1:8" x14ac:dyDescent="0.25">
      <c r="A453" s="41">
        <v>32219</v>
      </c>
      <c r="B453" s="56" t="s">
        <v>398</v>
      </c>
      <c r="C453" s="673">
        <v>0</v>
      </c>
      <c r="D453" s="673">
        <v>0</v>
      </c>
      <c r="E453" s="673">
        <v>0</v>
      </c>
      <c r="F453" s="673">
        <v>2282.1799999999998</v>
      </c>
      <c r="G453" s="675">
        <f t="shared" si="140"/>
        <v>2282.1799999999998</v>
      </c>
      <c r="H453" s="675">
        <f t="shared" si="141"/>
        <v>2282.1799999999998</v>
      </c>
    </row>
    <row r="454" spans="1:8" s="663" customFormat="1" x14ac:dyDescent="0.25">
      <c r="A454" s="39" t="s">
        <v>118</v>
      </c>
      <c r="B454" s="51" t="s">
        <v>119</v>
      </c>
      <c r="C454" s="665">
        <f>SUM(C455:C458)</f>
        <v>0</v>
      </c>
      <c r="D454" s="665">
        <f t="shared" ref="D454:F454" si="169">SUM(D455:D458)</f>
        <v>0</v>
      </c>
      <c r="E454" s="665">
        <f t="shared" si="169"/>
        <v>0</v>
      </c>
      <c r="F454" s="665">
        <f t="shared" si="169"/>
        <v>16477.72</v>
      </c>
      <c r="G454" s="666">
        <f t="shared" si="140"/>
        <v>16477.72</v>
      </c>
      <c r="H454" s="666">
        <f t="shared" si="141"/>
        <v>16477.72</v>
      </c>
    </row>
    <row r="455" spans="1:8" x14ac:dyDescent="0.25">
      <c r="A455" s="41" t="s">
        <v>481</v>
      </c>
      <c r="B455" s="56" t="s">
        <v>403</v>
      </c>
      <c r="C455" s="673">
        <v>0</v>
      </c>
      <c r="D455" s="673"/>
      <c r="E455" s="673"/>
      <c r="F455" s="673">
        <v>8552.36</v>
      </c>
      <c r="G455" s="675">
        <f t="shared" ref="G455:G518" si="170">IFERROR(F455/D455*100,F455)</f>
        <v>8552.36</v>
      </c>
      <c r="H455" s="675">
        <f t="shared" ref="H455:H518" si="171">IFERROR(F455/E455*100,F455)</f>
        <v>8552.36</v>
      </c>
    </row>
    <row r="456" spans="1:8" x14ac:dyDescent="0.25">
      <c r="A456" s="41" t="s">
        <v>482</v>
      </c>
      <c r="B456" s="56" t="s">
        <v>404</v>
      </c>
      <c r="C456" s="673">
        <v>0</v>
      </c>
      <c r="D456" s="673">
        <v>0</v>
      </c>
      <c r="E456" s="673">
        <v>0</v>
      </c>
      <c r="F456" s="673">
        <v>173.42</v>
      </c>
      <c r="G456" s="675">
        <f t="shared" si="170"/>
        <v>173.42</v>
      </c>
      <c r="H456" s="675">
        <f t="shared" si="171"/>
        <v>173.42</v>
      </c>
    </row>
    <row r="457" spans="1:8" x14ac:dyDescent="0.25">
      <c r="A457" s="41" t="s">
        <v>483</v>
      </c>
      <c r="B457" s="56" t="s">
        <v>405</v>
      </c>
      <c r="C457" s="673">
        <v>0</v>
      </c>
      <c r="D457" s="673"/>
      <c r="E457" s="673">
        <v>0</v>
      </c>
      <c r="F457" s="673">
        <v>4736.47</v>
      </c>
      <c r="G457" s="675">
        <f t="shared" si="170"/>
        <v>4736.47</v>
      </c>
      <c r="H457" s="675">
        <f t="shared" si="171"/>
        <v>4736.47</v>
      </c>
    </row>
    <row r="458" spans="1:8" x14ac:dyDescent="0.25">
      <c r="A458" s="41" t="s">
        <v>484</v>
      </c>
      <c r="B458" s="56" t="s">
        <v>402</v>
      </c>
      <c r="C458" s="673">
        <v>0</v>
      </c>
      <c r="D458" s="673">
        <v>0</v>
      </c>
      <c r="E458" s="673">
        <v>0</v>
      </c>
      <c r="F458" s="673">
        <v>3015.47</v>
      </c>
      <c r="G458" s="675">
        <f t="shared" si="170"/>
        <v>3015.47</v>
      </c>
      <c r="H458" s="675">
        <f t="shared" si="171"/>
        <v>3015.47</v>
      </c>
    </row>
    <row r="459" spans="1:8" s="663" customFormat="1" x14ac:dyDescent="0.25">
      <c r="A459" s="39" t="s">
        <v>120</v>
      </c>
      <c r="B459" s="51" t="s">
        <v>121</v>
      </c>
      <c r="C459" s="665">
        <f>C460+C461</f>
        <v>0</v>
      </c>
      <c r="D459" s="665">
        <f t="shared" ref="D459:F459" si="172">D460+D461</f>
        <v>0</v>
      </c>
      <c r="E459" s="665">
        <f t="shared" si="172"/>
        <v>0</v>
      </c>
      <c r="F459" s="665">
        <f t="shared" si="172"/>
        <v>1379.6100000000001</v>
      </c>
      <c r="G459" s="666">
        <f t="shared" si="170"/>
        <v>1379.6100000000001</v>
      </c>
      <c r="H459" s="666">
        <f t="shared" si="171"/>
        <v>1379.6100000000001</v>
      </c>
    </row>
    <row r="460" spans="1:8" x14ac:dyDescent="0.25">
      <c r="A460" s="41">
        <v>32241</v>
      </c>
      <c r="B460" s="56" t="s">
        <v>406</v>
      </c>
      <c r="C460" s="673"/>
      <c r="D460" s="673"/>
      <c r="E460" s="673"/>
      <c r="F460" s="673">
        <v>352.42</v>
      </c>
      <c r="G460" s="675">
        <f t="shared" si="170"/>
        <v>352.42</v>
      </c>
      <c r="H460" s="675">
        <f t="shared" si="171"/>
        <v>352.42</v>
      </c>
    </row>
    <row r="461" spans="1:8" x14ac:dyDescent="0.25">
      <c r="A461" s="41">
        <v>32242</v>
      </c>
      <c r="B461" s="56" t="s">
        <v>408</v>
      </c>
      <c r="C461" s="673"/>
      <c r="D461" s="673"/>
      <c r="E461" s="673"/>
      <c r="F461" s="673">
        <v>1027.19</v>
      </c>
      <c r="G461" s="675">
        <f t="shared" si="170"/>
        <v>1027.19</v>
      </c>
      <c r="H461" s="675">
        <f t="shared" si="171"/>
        <v>1027.19</v>
      </c>
    </row>
    <row r="462" spans="1:8" s="663" customFormat="1" x14ac:dyDescent="0.25">
      <c r="A462" s="39" t="s">
        <v>122</v>
      </c>
      <c r="B462" s="51" t="s">
        <v>123</v>
      </c>
      <c r="C462" s="665">
        <f>C463</f>
        <v>0</v>
      </c>
      <c r="D462" s="665">
        <f t="shared" ref="D462:F462" si="173">D463</f>
        <v>0</v>
      </c>
      <c r="E462" s="665">
        <f t="shared" si="173"/>
        <v>0</v>
      </c>
      <c r="F462" s="665">
        <f t="shared" si="173"/>
        <v>326.51</v>
      </c>
      <c r="G462" s="666">
        <f t="shared" si="170"/>
        <v>326.51</v>
      </c>
      <c r="H462" s="666">
        <f t="shared" si="171"/>
        <v>326.51</v>
      </c>
    </row>
    <row r="463" spans="1:8" x14ac:dyDescent="0.25">
      <c r="A463" s="41" t="s">
        <v>485</v>
      </c>
      <c r="B463" s="56" t="s">
        <v>123</v>
      </c>
      <c r="C463" s="673"/>
      <c r="D463" s="673"/>
      <c r="E463" s="673"/>
      <c r="F463" s="673">
        <v>326.51</v>
      </c>
      <c r="G463" s="675">
        <f t="shared" si="170"/>
        <v>326.51</v>
      </c>
      <c r="H463" s="675">
        <f t="shared" si="171"/>
        <v>326.51</v>
      </c>
    </row>
    <row r="464" spans="1:8" s="663" customFormat="1" x14ac:dyDescent="0.25">
      <c r="A464" s="39" t="s">
        <v>124</v>
      </c>
      <c r="B464" s="51" t="s">
        <v>125</v>
      </c>
      <c r="C464" s="665">
        <f>C465</f>
        <v>0</v>
      </c>
      <c r="D464" s="665">
        <f t="shared" ref="D464:F464" si="174">D465</f>
        <v>0</v>
      </c>
      <c r="E464" s="665">
        <f t="shared" si="174"/>
        <v>0</v>
      </c>
      <c r="F464" s="665">
        <f t="shared" si="174"/>
        <v>1231.75</v>
      </c>
      <c r="G464" s="666">
        <f t="shared" si="170"/>
        <v>1231.75</v>
      </c>
      <c r="H464" s="666">
        <f t="shared" si="171"/>
        <v>1231.75</v>
      </c>
    </row>
    <row r="465" spans="1:9" x14ac:dyDescent="0.25">
      <c r="A465" s="41" t="s">
        <v>486</v>
      </c>
      <c r="B465" s="56" t="s">
        <v>125</v>
      </c>
      <c r="C465" s="673"/>
      <c r="D465" s="673"/>
      <c r="E465" s="673"/>
      <c r="F465" s="673">
        <v>1231.75</v>
      </c>
      <c r="G465" s="675">
        <f t="shared" si="170"/>
        <v>1231.75</v>
      </c>
      <c r="H465" s="675">
        <f t="shared" si="171"/>
        <v>1231.75</v>
      </c>
    </row>
    <row r="466" spans="1:9" x14ac:dyDescent="0.25">
      <c r="A466" s="39" t="s">
        <v>126</v>
      </c>
      <c r="B466" s="40" t="s">
        <v>127</v>
      </c>
      <c r="C466" s="665">
        <f>C467+C469+C471+C474+C476</f>
        <v>0</v>
      </c>
      <c r="D466" s="665">
        <f t="shared" ref="D466:E466" si="175">D467+D469+D471+D474+D476</f>
        <v>0</v>
      </c>
      <c r="E466" s="665">
        <f t="shared" si="175"/>
        <v>20000</v>
      </c>
      <c r="F466" s="665">
        <f>F467+F469+F471+F474+F476</f>
        <v>28044.12</v>
      </c>
      <c r="G466" s="666">
        <f t="shared" si="170"/>
        <v>28044.12</v>
      </c>
      <c r="H466" s="666">
        <f t="shared" si="171"/>
        <v>140.22059999999999</v>
      </c>
    </row>
    <row r="467" spans="1:9" x14ac:dyDescent="0.25">
      <c r="A467" s="39" t="s">
        <v>128</v>
      </c>
      <c r="B467" s="40" t="s">
        <v>129</v>
      </c>
      <c r="C467" s="665">
        <f>C468</f>
        <v>0</v>
      </c>
      <c r="D467" s="665">
        <f t="shared" ref="D467:F467" si="176">D468</f>
        <v>0</v>
      </c>
      <c r="E467" s="665">
        <f t="shared" si="176"/>
        <v>0</v>
      </c>
      <c r="F467" s="665">
        <f t="shared" si="176"/>
        <v>2774.23</v>
      </c>
      <c r="G467" s="666">
        <f t="shared" si="170"/>
        <v>2774.23</v>
      </c>
      <c r="H467" s="666">
        <f t="shared" si="171"/>
        <v>2774.23</v>
      </c>
    </row>
    <row r="468" spans="1:9" x14ac:dyDescent="0.25">
      <c r="A468" s="41" t="s">
        <v>487</v>
      </c>
      <c r="B468" s="42" t="s">
        <v>410</v>
      </c>
      <c r="C468" s="673">
        <v>0</v>
      </c>
      <c r="D468" s="673">
        <v>0</v>
      </c>
      <c r="E468" s="673">
        <v>0</v>
      </c>
      <c r="F468" s="673">
        <v>2774.23</v>
      </c>
      <c r="G468" s="675">
        <f t="shared" si="170"/>
        <v>2774.23</v>
      </c>
      <c r="H468" s="675">
        <f t="shared" si="171"/>
        <v>2774.23</v>
      </c>
    </row>
    <row r="469" spans="1:9" x14ac:dyDescent="0.25">
      <c r="A469" s="39" t="s">
        <v>130</v>
      </c>
      <c r="B469" s="40" t="s">
        <v>131</v>
      </c>
      <c r="C469" s="665">
        <f>C470</f>
        <v>0</v>
      </c>
      <c r="D469" s="665">
        <f t="shared" ref="D469:F469" si="177">D470</f>
        <v>0</v>
      </c>
      <c r="E469" s="665">
        <f t="shared" si="177"/>
        <v>0</v>
      </c>
      <c r="F469" s="665">
        <f t="shared" si="177"/>
        <v>633.5</v>
      </c>
      <c r="G469" s="666">
        <f t="shared" si="170"/>
        <v>633.5</v>
      </c>
      <c r="H469" s="666">
        <f t="shared" si="171"/>
        <v>633.5</v>
      </c>
    </row>
    <row r="470" spans="1:9" x14ac:dyDescent="0.25">
      <c r="A470" s="41" t="s">
        <v>511</v>
      </c>
      <c r="B470" s="42" t="s">
        <v>414</v>
      </c>
      <c r="C470" s="673"/>
      <c r="D470" s="673"/>
      <c r="E470" s="673"/>
      <c r="F470" s="673">
        <v>633.5</v>
      </c>
      <c r="G470" s="675">
        <f t="shared" si="170"/>
        <v>633.5</v>
      </c>
      <c r="H470" s="675">
        <f t="shared" si="171"/>
        <v>633.5</v>
      </c>
    </row>
    <row r="471" spans="1:9" s="663" customFormat="1" x14ac:dyDescent="0.25">
      <c r="A471" s="39" t="s">
        <v>134</v>
      </c>
      <c r="B471" s="40" t="s">
        <v>135</v>
      </c>
      <c r="C471" s="665">
        <f>C472+C473</f>
        <v>0</v>
      </c>
      <c r="D471" s="665">
        <f t="shared" ref="D471:F471" si="178">D472+D473</f>
        <v>0</v>
      </c>
      <c r="E471" s="665">
        <f t="shared" si="178"/>
        <v>0</v>
      </c>
      <c r="F471" s="665">
        <f t="shared" si="178"/>
        <v>6339.17</v>
      </c>
      <c r="G471" s="666">
        <f t="shared" si="170"/>
        <v>6339.17</v>
      </c>
      <c r="H471" s="666">
        <f t="shared" si="171"/>
        <v>6339.17</v>
      </c>
    </row>
    <row r="472" spans="1:9" x14ac:dyDescent="0.25">
      <c r="A472" s="41" t="s">
        <v>526</v>
      </c>
      <c r="B472" s="42" t="s">
        <v>416</v>
      </c>
      <c r="C472" s="673"/>
      <c r="D472" s="673"/>
      <c r="E472" s="673"/>
      <c r="F472" s="673">
        <v>1418.57</v>
      </c>
      <c r="G472" s="675">
        <f t="shared" si="170"/>
        <v>1418.57</v>
      </c>
      <c r="H472" s="675">
        <f t="shared" si="171"/>
        <v>1418.57</v>
      </c>
    </row>
    <row r="473" spans="1:9" x14ac:dyDescent="0.25">
      <c r="A473" s="41" t="s">
        <v>527</v>
      </c>
      <c r="B473" s="42" t="s">
        <v>417</v>
      </c>
      <c r="C473" s="673"/>
      <c r="D473" s="673"/>
      <c r="E473" s="673"/>
      <c r="F473" s="673">
        <v>4920.6000000000004</v>
      </c>
      <c r="G473" s="675">
        <f t="shared" si="170"/>
        <v>4920.6000000000004</v>
      </c>
      <c r="H473" s="675">
        <f t="shared" si="171"/>
        <v>4920.6000000000004</v>
      </c>
    </row>
    <row r="474" spans="1:9" x14ac:dyDescent="0.25">
      <c r="A474" s="39" t="s">
        <v>217</v>
      </c>
      <c r="B474" s="40" t="s">
        <v>137</v>
      </c>
      <c r="C474" s="665"/>
      <c r="D474" s="665"/>
      <c r="E474" s="665">
        <f>E475</f>
        <v>20000</v>
      </c>
      <c r="F474" s="665">
        <f>F475</f>
        <v>12622.22</v>
      </c>
      <c r="G474" s="666">
        <f t="shared" si="170"/>
        <v>12622.22</v>
      </c>
      <c r="H474" s="666">
        <f t="shared" si="171"/>
        <v>63.1111</v>
      </c>
    </row>
    <row r="475" spans="1:9" x14ac:dyDescent="0.25">
      <c r="A475" s="41" t="s">
        <v>498</v>
      </c>
      <c r="B475" s="42" t="s">
        <v>421</v>
      </c>
      <c r="C475" s="673"/>
      <c r="D475" s="673"/>
      <c r="E475" s="673">
        <v>20000</v>
      </c>
      <c r="F475" s="673">
        <v>12622.22</v>
      </c>
      <c r="G475" s="675">
        <f t="shared" si="170"/>
        <v>12622.22</v>
      </c>
      <c r="H475" s="675">
        <f t="shared" si="171"/>
        <v>63.1111</v>
      </c>
    </row>
    <row r="476" spans="1:9" s="663" customFormat="1" x14ac:dyDescent="0.25">
      <c r="A476" s="39" t="s">
        <v>218</v>
      </c>
      <c r="B476" s="40" t="s">
        <v>138</v>
      </c>
      <c r="C476" s="665">
        <f>C477+C478</f>
        <v>0</v>
      </c>
      <c r="D476" s="665">
        <f t="shared" ref="D476:F476" si="179">D477+D478</f>
        <v>0</v>
      </c>
      <c r="E476" s="665">
        <f t="shared" si="179"/>
        <v>0</v>
      </c>
      <c r="F476" s="665">
        <f t="shared" si="179"/>
        <v>5675</v>
      </c>
      <c r="G476" s="666">
        <f t="shared" si="170"/>
        <v>5675</v>
      </c>
      <c r="H476" s="666">
        <f t="shared" si="171"/>
        <v>5675</v>
      </c>
    </row>
    <row r="477" spans="1:9" x14ac:dyDescent="0.25">
      <c r="A477" s="41" t="s">
        <v>627</v>
      </c>
      <c r="B477" s="42" t="s">
        <v>423</v>
      </c>
      <c r="C477" s="673">
        <v>0</v>
      </c>
      <c r="D477" s="673">
        <v>0</v>
      </c>
      <c r="E477" s="673">
        <v>0</v>
      </c>
      <c r="F477" s="673">
        <v>5000</v>
      </c>
      <c r="G477" s="675">
        <f t="shared" si="170"/>
        <v>5000</v>
      </c>
      <c r="H477" s="675">
        <f t="shared" si="171"/>
        <v>5000</v>
      </c>
    </row>
    <row r="478" spans="1:9" x14ac:dyDescent="0.25">
      <c r="A478" s="41" t="s">
        <v>597</v>
      </c>
      <c r="B478" s="42" t="s">
        <v>490</v>
      </c>
      <c r="C478" s="673">
        <v>0</v>
      </c>
      <c r="D478" s="673">
        <v>0</v>
      </c>
      <c r="E478" s="673">
        <v>0</v>
      </c>
      <c r="F478" s="673">
        <v>675</v>
      </c>
      <c r="G478" s="675">
        <f t="shared" si="170"/>
        <v>675</v>
      </c>
      <c r="H478" s="675">
        <f t="shared" si="171"/>
        <v>675</v>
      </c>
    </row>
    <row r="479" spans="1:9" x14ac:dyDescent="0.25">
      <c r="A479" s="39" t="s">
        <v>609</v>
      </c>
      <c r="B479" s="40" t="s">
        <v>127</v>
      </c>
      <c r="C479" s="665">
        <f>C480</f>
        <v>0</v>
      </c>
      <c r="D479" s="665">
        <f>D480</f>
        <v>0</v>
      </c>
      <c r="E479" s="665">
        <f>E480</f>
        <v>130000</v>
      </c>
      <c r="F479" s="665">
        <f>F480</f>
        <v>86434.36</v>
      </c>
      <c r="G479" s="666">
        <f t="shared" si="170"/>
        <v>86434.36</v>
      </c>
      <c r="H479" s="666">
        <f t="shared" si="171"/>
        <v>66.487969230769224</v>
      </c>
    </row>
    <row r="480" spans="1:9" x14ac:dyDescent="0.25">
      <c r="A480" s="39" t="s">
        <v>610</v>
      </c>
      <c r="B480" s="40" t="s">
        <v>142</v>
      </c>
      <c r="C480" s="665">
        <f>C481+C482</f>
        <v>0</v>
      </c>
      <c r="D480" s="665">
        <f>D481+D482</f>
        <v>0</v>
      </c>
      <c r="E480" s="665">
        <f>E481+E482</f>
        <v>130000</v>
      </c>
      <c r="F480" s="665">
        <f>F481+F482</f>
        <v>86434.36</v>
      </c>
      <c r="G480" s="666">
        <f t="shared" si="170"/>
        <v>86434.36</v>
      </c>
      <c r="H480" s="666">
        <f t="shared" si="171"/>
        <v>66.487969230769224</v>
      </c>
      <c r="I480" s="704"/>
    </row>
    <row r="481" spans="1:9" x14ac:dyDescent="0.25">
      <c r="A481" s="41" t="s">
        <v>611</v>
      </c>
      <c r="B481" s="42" t="s">
        <v>613</v>
      </c>
      <c r="C481" s="673"/>
      <c r="D481" s="673"/>
      <c r="E481" s="673">
        <v>20000</v>
      </c>
      <c r="F481" s="673">
        <v>9679.25</v>
      </c>
      <c r="G481" s="675">
        <f t="shared" si="170"/>
        <v>9679.25</v>
      </c>
      <c r="H481" s="675">
        <f t="shared" si="171"/>
        <v>48.396250000000002</v>
      </c>
      <c r="I481" s="704"/>
    </row>
    <row r="482" spans="1:9" x14ac:dyDescent="0.25">
      <c r="A482" s="41" t="s">
        <v>612</v>
      </c>
      <c r="B482" s="42" t="s">
        <v>614</v>
      </c>
      <c r="C482" s="673"/>
      <c r="D482" s="673"/>
      <c r="E482" s="673">
        <v>110000</v>
      </c>
      <c r="F482" s="673">
        <v>76755.11</v>
      </c>
      <c r="G482" s="675">
        <f t="shared" si="170"/>
        <v>76755.11</v>
      </c>
      <c r="H482" s="675">
        <f t="shared" si="171"/>
        <v>69.77737272727272</v>
      </c>
    </row>
    <row r="483" spans="1:9" s="663" customFormat="1" x14ac:dyDescent="0.25">
      <c r="A483" s="39" t="s">
        <v>219</v>
      </c>
      <c r="B483" s="40" t="s">
        <v>144</v>
      </c>
      <c r="C483" s="665">
        <f>C484+C487+C489</f>
        <v>0</v>
      </c>
      <c r="D483" s="665">
        <f t="shared" ref="D483:F483" si="180">D484+D487+D489</f>
        <v>0</v>
      </c>
      <c r="E483" s="665">
        <f t="shared" si="180"/>
        <v>0</v>
      </c>
      <c r="F483" s="665">
        <f t="shared" si="180"/>
        <v>6041.6200000000008</v>
      </c>
      <c r="G483" s="666">
        <f t="shared" si="170"/>
        <v>6041.6200000000008</v>
      </c>
      <c r="H483" s="666">
        <f t="shared" si="171"/>
        <v>6041.6200000000008</v>
      </c>
    </row>
    <row r="484" spans="1:9" s="663" customFormat="1" x14ac:dyDescent="0.25">
      <c r="A484" s="39" t="s">
        <v>231</v>
      </c>
      <c r="B484" s="40" t="s">
        <v>147</v>
      </c>
      <c r="C484" s="665">
        <f>C485+C486</f>
        <v>0</v>
      </c>
      <c r="D484" s="665">
        <f t="shared" ref="D484:F484" si="181">D485+D486</f>
        <v>0</v>
      </c>
      <c r="E484" s="665">
        <f t="shared" si="181"/>
        <v>0</v>
      </c>
      <c r="F484" s="665">
        <f t="shared" si="181"/>
        <v>4594.1900000000005</v>
      </c>
      <c r="G484" s="666">
        <f t="shared" si="170"/>
        <v>4594.1900000000005</v>
      </c>
      <c r="H484" s="666">
        <f t="shared" si="171"/>
        <v>4594.1900000000005</v>
      </c>
    </row>
    <row r="485" spans="1:9" x14ac:dyDescent="0.25">
      <c r="A485" s="41" t="s">
        <v>501</v>
      </c>
      <c r="B485" s="42" t="s">
        <v>430</v>
      </c>
      <c r="C485" s="673">
        <v>0</v>
      </c>
      <c r="D485" s="673">
        <v>0</v>
      </c>
      <c r="E485" s="673">
        <v>0</v>
      </c>
      <c r="F485" s="673">
        <v>3149.55</v>
      </c>
      <c r="G485" s="675">
        <f t="shared" si="170"/>
        <v>3149.55</v>
      </c>
      <c r="H485" s="675">
        <f t="shared" si="171"/>
        <v>3149.55</v>
      </c>
    </row>
    <row r="486" spans="1:9" x14ac:dyDescent="0.25">
      <c r="A486" s="41" t="s">
        <v>599</v>
      </c>
      <c r="B486" s="42" t="s">
        <v>621</v>
      </c>
      <c r="C486" s="673">
        <v>0</v>
      </c>
      <c r="D486" s="673">
        <v>0</v>
      </c>
      <c r="E486" s="673">
        <v>0</v>
      </c>
      <c r="F486" s="673">
        <v>1444.64</v>
      </c>
      <c r="G486" s="675">
        <f t="shared" si="170"/>
        <v>1444.64</v>
      </c>
      <c r="H486" s="675">
        <f t="shared" si="171"/>
        <v>1444.64</v>
      </c>
    </row>
    <row r="487" spans="1:9" s="663" customFormat="1" x14ac:dyDescent="0.25">
      <c r="A487" s="39" t="s">
        <v>323</v>
      </c>
      <c r="B487" s="40" t="s">
        <v>149</v>
      </c>
      <c r="C487" s="665">
        <f>C488</f>
        <v>0</v>
      </c>
      <c r="D487" s="665">
        <f t="shared" ref="D487:F487" si="182">D488</f>
        <v>0</v>
      </c>
      <c r="E487" s="665">
        <f t="shared" si="182"/>
        <v>0</v>
      </c>
      <c r="F487" s="665">
        <f t="shared" si="182"/>
        <v>556.20000000000005</v>
      </c>
      <c r="G487" s="666">
        <f t="shared" si="170"/>
        <v>556.20000000000005</v>
      </c>
      <c r="H487" s="666">
        <f t="shared" si="171"/>
        <v>556.20000000000005</v>
      </c>
    </row>
    <row r="488" spans="1:9" x14ac:dyDescent="0.25">
      <c r="A488" s="41" t="s">
        <v>628</v>
      </c>
      <c r="B488" s="42" t="s">
        <v>431</v>
      </c>
      <c r="C488" s="673"/>
      <c r="D488" s="673"/>
      <c r="E488" s="673"/>
      <c r="F488" s="673">
        <v>556.20000000000005</v>
      </c>
      <c r="G488" s="675">
        <f t="shared" si="170"/>
        <v>556.20000000000005</v>
      </c>
      <c r="H488" s="675">
        <f t="shared" si="171"/>
        <v>556.20000000000005</v>
      </c>
    </row>
    <row r="489" spans="1:9" s="663" customFormat="1" x14ac:dyDescent="0.25">
      <c r="A489" s="39" t="s">
        <v>152</v>
      </c>
      <c r="B489" s="40" t="s">
        <v>144</v>
      </c>
      <c r="C489" s="665">
        <f>C490</f>
        <v>0</v>
      </c>
      <c r="D489" s="665">
        <f t="shared" ref="D489:F489" si="183">D490</f>
        <v>0</v>
      </c>
      <c r="E489" s="665">
        <f t="shared" si="183"/>
        <v>0</v>
      </c>
      <c r="F489" s="665">
        <f t="shared" si="183"/>
        <v>891.23</v>
      </c>
      <c r="G489" s="666">
        <f t="shared" si="170"/>
        <v>891.23</v>
      </c>
      <c r="H489" s="666">
        <f t="shared" si="171"/>
        <v>891.23</v>
      </c>
    </row>
    <row r="490" spans="1:9" x14ac:dyDescent="0.25">
      <c r="A490" s="41" t="s">
        <v>600</v>
      </c>
      <c r="B490" s="42" t="s">
        <v>144</v>
      </c>
      <c r="C490" s="673"/>
      <c r="D490" s="673"/>
      <c r="E490" s="673"/>
      <c r="F490" s="673">
        <v>891.23</v>
      </c>
      <c r="G490" s="675">
        <f t="shared" si="170"/>
        <v>891.23</v>
      </c>
      <c r="H490" s="675">
        <f t="shared" si="171"/>
        <v>891.23</v>
      </c>
    </row>
    <row r="491" spans="1:9" x14ac:dyDescent="0.25">
      <c r="A491" s="720" t="s">
        <v>352</v>
      </c>
      <c r="B491" s="721" t="s">
        <v>353</v>
      </c>
      <c r="C491" s="724">
        <f>C492</f>
        <v>0</v>
      </c>
      <c r="D491" s="724">
        <f t="shared" ref="D491:F491" si="184">D492</f>
        <v>0</v>
      </c>
      <c r="E491" s="724">
        <f t="shared" si="184"/>
        <v>0</v>
      </c>
      <c r="F491" s="724">
        <f t="shared" si="184"/>
        <v>10000</v>
      </c>
      <c r="G491" s="725">
        <f t="shared" si="170"/>
        <v>10000</v>
      </c>
      <c r="H491" s="725">
        <f t="shared" si="171"/>
        <v>10000</v>
      </c>
    </row>
    <row r="492" spans="1:9" x14ac:dyDescent="0.25">
      <c r="A492" s="738" t="s">
        <v>86</v>
      </c>
      <c r="B492" s="735" t="s">
        <v>87</v>
      </c>
      <c r="C492" s="736">
        <f>C493</f>
        <v>0</v>
      </c>
      <c r="D492" s="736">
        <f t="shared" ref="D492:F493" si="185">D493</f>
        <v>0</v>
      </c>
      <c r="E492" s="736">
        <f t="shared" si="185"/>
        <v>0</v>
      </c>
      <c r="F492" s="736">
        <f t="shared" si="185"/>
        <v>10000</v>
      </c>
      <c r="G492" s="737">
        <f t="shared" si="170"/>
        <v>10000</v>
      </c>
      <c r="H492" s="737">
        <f t="shared" si="171"/>
        <v>10000</v>
      </c>
    </row>
    <row r="493" spans="1:9" x14ac:dyDescent="0.25">
      <c r="A493" s="746">
        <v>31</v>
      </c>
      <c r="B493" s="747" t="s">
        <v>88</v>
      </c>
      <c r="C493" s="748">
        <f>C494</f>
        <v>0</v>
      </c>
      <c r="D493" s="748">
        <f t="shared" si="185"/>
        <v>0</v>
      </c>
      <c r="E493" s="748">
        <f t="shared" si="185"/>
        <v>0</v>
      </c>
      <c r="F493" s="748">
        <f t="shared" si="185"/>
        <v>10000</v>
      </c>
      <c r="G493" s="749">
        <f t="shared" si="170"/>
        <v>10000</v>
      </c>
      <c r="H493" s="749">
        <f t="shared" si="171"/>
        <v>10000</v>
      </c>
    </row>
    <row r="494" spans="1:9" x14ac:dyDescent="0.25">
      <c r="A494" s="39" t="s">
        <v>97</v>
      </c>
      <c r="B494" s="40" t="s">
        <v>98</v>
      </c>
      <c r="C494" s="665">
        <f>C495</f>
        <v>0</v>
      </c>
      <c r="D494" s="665">
        <f>D495</f>
        <v>0</v>
      </c>
      <c r="E494" s="665">
        <f>E495</f>
        <v>0</v>
      </c>
      <c r="F494" s="665">
        <f t="shared" ref="F494" si="186">F495</f>
        <v>10000</v>
      </c>
      <c r="G494" s="666">
        <f t="shared" si="170"/>
        <v>10000</v>
      </c>
      <c r="H494" s="666">
        <f t="shared" si="171"/>
        <v>10000</v>
      </c>
    </row>
    <row r="495" spans="1:9" x14ac:dyDescent="0.25">
      <c r="A495" s="39" t="s">
        <v>99</v>
      </c>
      <c r="B495" s="40" t="s">
        <v>98</v>
      </c>
      <c r="C495" s="665">
        <f>SUM(C496:C497)</f>
        <v>0</v>
      </c>
      <c r="D495" s="665">
        <f t="shared" ref="D495:F495" si="187">SUM(D496:D497)</f>
        <v>0</v>
      </c>
      <c r="E495" s="665">
        <f t="shared" si="187"/>
        <v>0</v>
      </c>
      <c r="F495" s="665">
        <f t="shared" si="187"/>
        <v>10000</v>
      </c>
      <c r="G495" s="666">
        <f t="shared" si="170"/>
        <v>10000</v>
      </c>
      <c r="H495" s="666">
        <f t="shared" si="171"/>
        <v>10000</v>
      </c>
    </row>
    <row r="496" spans="1:9" x14ac:dyDescent="0.25">
      <c r="A496" s="41" t="s">
        <v>469</v>
      </c>
      <c r="B496" s="42" t="s">
        <v>382</v>
      </c>
      <c r="C496" s="673">
        <v>0</v>
      </c>
      <c r="D496" s="673">
        <v>0</v>
      </c>
      <c r="E496" s="674">
        <v>0</v>
      </c>
      <c r="F496" s="673">
        <v>958.56000000000006</v>
      </c>
      <c r="G496" s="675">
        <f t="shared" si="170"/>
        <v>958.56000000000006</v>
      </c>
      <c r="H496" s="675">
        <f t="shared" si="171"/>
        <v>958.56000000000006</v>
      </c>
    </row>
    <row r="497" spans="1:8" x14ac:dyDescent="0.25">
      <c r="A497" s="41" t="s">
        <v>470</v>
      </c>
      <c r="B497" s="42" t="s">
        <v>384</v>
      </c>
      <c r="C497" s="673">
        <v>0</v>
      </c>
      <c r="D497" s="673">
        <v>0</v>
      </c>
      <c r="E497" s="674">
        <v>0</v>
      </c>
      <c r="F497" s="673">
        <v>9041.44</v>
      </c>
      <c r="G497" s="675">
        <f t="shared" si="170"/>
        <v>9041.44</v>
      </c>
      <c r="H497" s="675">
        <f t="shared" si="171"/>
        <v>9041.44</v>
      </c>
    </row>
    <row r="498" spans="1:8" s="676" customFormat="1" ht="19.5" x14ac:dyDescent="0.25">
      <c r="A498" s="730" t="s">
        <v>312</v>
      </c>
      <c r="B498" s="742" t="s">
        <v>351</v>
      </c>
      <c r="C498" s="732">
        <f>C499</f>
        <v>366049.55000000005</v>
      </c>
      <c r="D498" s="732">
        <f>D499</f>
        <v>362383.70999999996</v>
      </c>
      <c r="E498" s="732">
        <f>E499</f>
        <v>351286</v>
      </c>
      <c r="F498" s="732">
        <f>F499</f>
        <v>351125.49</v>
      </c>
      <c r="G498" s="733">
        <f t="shared" si="170"/>
        <v>96.893287504562508</v>
      </c>
      <c r="H498" s="733">
        <f t="shared" si="171"/>
        <v>99.954307885882159</v>
      </c>
    </row>
    <row r="499" spans="1:8" s="705" customFormat="1" ht="15" x14ac:dyDescent="0.25">
      <c r="A499" s="720" t="s">
        <v>352</v>
      </c>
      <c r="B499" s="721" t="s">
        <v>353</v>
      </c>
      <c r="C499" s="724">
        <f>C500+C527</f>
        <v>366049.55000000005</v>
      </c>
      <c r="D499" s="724">
        <f>D500+D527</f>
        <v>362383.70999999996</v>
      </c>
      <c r="E499" s="724">
        <f>E500+E527</f>
        <v>351286</v>
      </c>
      <c r="F499" s="724">
        <f>F500+F527</f>
        <v>351125.49</v>
      </c>
      <c r="G499" s="725">
        <f t="shared" si="170"/>
        <v>96.893287504562508</v>
      </c>
      <c r="H499" s="725">
        <f t="shared" si="171"/>
        <v>99.954307885882159</v>
      </c>
    </row>
    <row r="500" spans="1:8" s="676" customFormat="1" x14ac:dyDescent="0.25">
      <c r="A500" s="738" t="s">
        <v>86</v>
      </c>
      <c r="B500" s="735" t="s">
        <v>87</v>
      </c>
      <c r="C500" s="736">
        <f>C501+C510</f>
        <v>110540.04000000001</v>
      </c>
      <c r="D500" s="736">
        <f>D501+D510</f>
        <v>96660</v>
      </c>
      <c r="E500" s="736">
        <f>E501+E510</f>
        <v>86010</v>
      </c>
      <c r="F500" s="736">
        <f t="shared" ref="F500" si="188">F501+F510</f>
        <v>86009.489999999991</v>
      </c>
      <c r="G500" s="737">
        <f t="shared" si="170"/>
        <v>88.98147113594041</v>
      </c>
      <c r="H500" s="737">
        <f t="shared" si="171"/>
        <v>99.999407045692351</v>
      </c>
    </row>
    <row r="501" spans="1:8" s="676" customFormat="1" hidden="1" x14ac:dyDescent="0.25">
      <c r="A501" s="746">
        <v>31</v>
      </c>
      <c r="B501" s="747" t="s">
        <v>88</v>
      </c>
      <c r="C501" s="748">
        <f>C502+C505+C507</f>
        <v>0</v>
      </c>
      <c r="D501" s="748">
        <f>D502+D505+D507</f>
        <v>0</v>
      </c>
      <c r="E501" s="748">
        <f>E502+E505+E507</f>
        <v>0</v>
      </c>
      <c r="F501" s="748">
        <f t="shared" ref="F501" si="189">F502+F505+F507</f>
        <v>0</v>
      </c>
      <c r="G501" s="749">
        <f t="shared" si="170"/>
        <v>0</v>
      </c>
      <c r="H501" s="749">
        <f t="shared" si="171"/>
        <v>0</v>
      </c>
    </row>
    <row r="502" spans="1:8" s="676" customFormat="1" hidden="1" x14ac:dyDescent="0.25">
      <c r="A502" s="39">
        <v>311</v>
      </c>
      <c r="B502" s="40" t="s">
        <v>89</v>
      </c>
      <c r="C502" s="665">
        <f>C503+C504</f>
        <v>0</v>
      </c>
      <c r="D502" s="665">
        <f>D503+D504</f>
        <v>0</v>
      </c>
      <c r="E502" s="665">
        <f>E503+E504</f>
        <v>0</v>
      </c>
      <c r="F502" s="665">
        <f t="shared" ref="F502" si="190">F503+F504</f>
        <v>0</v>
      </c>
      <c r="G502" s="666">
        <f t="shared" si="170"/>
        <v>0</v>
      </c>
      <c r="H502" s="666">
        <f t="shared" si="171"/>
        <v>0</v>
      </c>
    </row>
    <row r="503" spans="1:8" s="676" customFormat="1" hidden="1" x14ac:dyDescent="0.25">
      <c r="A503" s="41">
        <v>3111</v>
      </c>
      <c r="B503" s="42" t="s">
        <v>90</v>
      </c>
      <c r="C503" s="673"/>
      <c r="D503" s="673"/>
      <c r="E503" s="673"/>
      <c r="F503" s="673"/>
      <c r="G503" s="675">
        <f t="shared" si="170"/>
        <v>0</v>
      </c>
      <c r="H503" s="675">
        <f t="shared" si="171"/>
        <v>0</v>
      </c>
    </row>
    <row r="504" spans="1:8" s="676" customFormat="1" hidden="1" x14ac:dyDescent="0.25">
      <c r="A504" s="41" t="s">
        <v>95</v>
      </c>
      <c r="B504" s="42" t="s">
        <v>211</v>
      </c>
      <c r="C504" s="673"/>
      <c r="D504" s="673"/>
      <c r="E504" s="673"/>
      <c r="F504" s="673"/>
      <c r="G504" s="675">
        <f t="shared" si="170"/>
        <v>0</v>
      </c>
      <c r="H504" s="675">
        <f t="shared" si="171"/>
        <v>0</v>
      </c>
    </row>
    <row r="505" spans="1:8" s="652" customFormat="1" hidden="1" x14ac:dyDescent="0.25">
      <c r="A505" s="39" t="s">
        <v>97</v>
      </c>
      <c r="B505" s="40" t="s">
        <v>98</v>
      </c>
      <c r="C505" s="665">
        <f>C506</f>
        <v>0</v>
      </c>
      <c r="D505" s="665">
        <f>D506</f>
        <v>0</v>
      </c>
      <c r="E505" s="665">
        <f>E506</f>
        <v>0</v>
      </c>
      <c r="F505" s="665">
        <f t="shared" ref="F505" si="191">F506</f>
        <v>0</v>
      </c>
      <c r="G505" s="666">
        <f t="shared" si="170"/>
        <v>0</v>
      </c>
      <c r="H505" s="666">
        <f t="shared" si="171"/>
        <v>0</v>
      </c>
    </row>
    <row r="506" spans="1:8" s="676" customFormat="1" hidden="1" x14ac:dyDescent="0.25">
      <c r="A506" s="41" t="s">
        <v>99</v>
      </c>
      <c r="B506" s="42" t="s">
        <v>98</v>
      </c>
      <c r="C506" s="673"/>
      <c r="D506" s="673"/>
      <c r="E506" s="673"/>
      <c r="F506" s="673"/>
      <c r="G506" s="675">
        <f t="shared" si="170"/>
        <v>0</v>
      </c>
      <c r="H506" s="675">
        <f t="shared" si="171"/>
        <v>0</v>
      </c>
    </row>
    <row r="507" spans="1:8" s="652" customFormat="1" hidden="1" x14ac:dyDescent="0.25">
      <c r="A507" s="39">
        <v>313</v>
      </c>
      <c r="B507" s="40" t="s">
        <v>100</v>
      </c>
      <c r="C507" s="665">
        <f>C508+C509</f>
        <v>0</v>
      </c>
      <c r="D507" s="665">
        <f>D508+D509</f>
        <v>0</v>
      </c>
      <c r="E507" s="665">
        <f>E508+E509</f>
        <v>0</v>
      </c>
      <c r="F507" s="665">
        <f t="shared" ref="F507" si="192">F508+F509</f>
        <v>0</v>
      </c>
      <c r="G507" s="666">
        <f t="shared" si="170"/>
        <v>0</v>
      </c>
      <c r="H507" s="666">
        <f t="shared" si="171"/>
        <v>0</v>
      </c>
    </row>
    <row r="508" spans="1:8" s="676" customFormat="1" hidden="1" x14ac:dyDescent="0.25">
      <c r="A508" s="41" t="s">
        <v>225</v>
      </c>
      <c r="B508" s="42" t="s">
        <v>226</v>
      </c>
      <c r="C508" s="673"/>
      <c r="D508" s="673"/>
      <c r="E508" s="673"/>
      <c r="F508" s="673"/>
      <c r="G508" s="675">
        <f t="shared" si="170"/>
        <v>0</v>
      </c>
      <c r="H508" s="675">
        <f t="shared" si="171"/>
        <v>0</v>
      </c>
    </row>
    <row r="509" spans="1:8" s="676" customFormat="1" hidden="1" x14ac:dyDescent="0.25">
      <c r="A509" s="41">
        <v>3132</v>
      </c>
      <c r="B509" s="42" t="s">
        <v>101</v>
      </c>
      <c r="C509" s="673"/>
      <c r="D509" s="673"/>
      <c r="E509" s="673"/>
      <c r="F509" s="673"/>
      <c r="G509" s="675">
        <f t="shared" si="170"/>
        <v>0</v>
      </c>
      <c r="H509" s="675">
        <f t="shared" si="171"/>
        <v>0</v>
      </c>
    </row>
    <row r="510" spans="1:8" s="676" customFormat="1" x14ac:dyDescent="0.25">
      <c r="A510" s="746">
        <v>32</v>
      </c>
      <c r="B510" s="747" t="s">
        <v>102</v>
      </c>
      <c r="C510" s="748">
        <f>C511+C515+C518</f>
        <v>110540.04000000001</v>
      </c>
      <c r="D510" s="748">
        <f>D511+D515+D518</f>
        <v>96660</v>
      </c>
      <c r="E510" s="748">
        <f>E511+E515+E518</f>
        <v>86010</v>
      </c>
      <c r="F510" s="748">
        <f>F511+F515+F518</f>
        <v>86009.489999999991</v>
      </c>
      <c r="G510" s="749">
        <f t="shared" si="170"/>
        <v>88.98147113594041</v>
      </c>
      <c r="H510" s="749">
        <f t="shared" si="171"/>
        <v>99.999407045692351</v>
      </c>
    </row>
    <row r="511" spans="1:8" s="676" customFormat="1" hidden="1" x14ac:dyDescent="0.25">
      <c r="A511" s="39">
        <v>321</v>
      </c>
      <c r="B511" s="40" t="s">
        <v>103</v>
      </c>
      <c r="C511" s="665">
        <f>SUM(C512:C514)</f>
        <v>0</v>
      </c>
      <c r="D511" s="665">
        <f>SUM(D512:D514)</f>
        <v>0</v>
      </c>
      <c r="E511" s="665">
        <f>SUM(E512:E514)</f>
        <v>0</v>
      </c>
      <c r="F511" s="665">
        <f t="shared" ref="F511" si="193">SUM(F512:F514)</f>
        <v>0</v>
      </c>
      <c r="G511" s="666">
        <f t="shared" si="170"/>
        <v>0</v>
      </c>
      <c r="H511" s="666">
        <f t="shared" si="171"/>
        <v>0</v>
      </c>
    </row>
    <row r="512" spans="1:8" s="676" customFormat="1" hidden="1" x14ac:dyDescent="0.25">
      <c r="A512" s="41" t="s">
        <v>104</v>
      </c>
      <c r="B512" s="42" t="s">
        <v>105</v>
      </c>
      <c r="C512" s="673"/>
      <c r="D512" s="673"/>
      <c r="E512" s="673"/>
      <c r="F512" s="673"/>
      <c r="G512" s="675">
        <f t="shared" si="170"/>
        <v>0</v>
      </c>
      <c r="H512" s="675">
        <f t="shared" si="171"/>
        <v>0</v>
      </c>
    </row>
    <row r="513" spans="1:8" s="676" customFormat="1" hidden="1" x14ac:dyDescent="0.25">
      <c r="A513" s="41" t="s">
        <v>106</v>
      </c>
      <c r="B513" s="44" t="s">
        <v>107</v>
      </c>
      <c r="C513" s="673"/>
      <c r="D513" s="673"/>
      <c r="E513" s="673"/>
      <c r="F513" s="673"/>
      <c r="G513" s="675">
        <f t="shared" si="170"/>
        <v>0</v>
      </c>
      <c r="H513" s="675">
        <f t="shared" si="171"/>
        <v>0</v>
      </c>
    </row>
    <row r="514" spans="1:8" hidden="1" x14ac:dyDescent="0.25">
      <c r="A514" s="41" t="s">
        <v>108</v>
      </c>
      <c r="B514" s="44" t="s">
        <v>109</v>
      </c>
      <c r="C514" s="673"/>
      <c r="D514" s="673"/>
      <c r="E514" s="673"/>
      <c r="F514" s="673"/>
      <c r="G514" s="675">
        <f t="shared" si="170"/>
        <v>0</v>
      </c>
      <c r="H514" s="675">
        <f t="shared" si="171"/>
        <v>0</v>
      </c>
    </row>
    <row r="515" spans="1:8" s="663" customFormat="1" x14ac:dyDescent="0.25">
      <c r="A515" s="39" t="s">
        <v>112</v>
      </c>
      <c r="B515" s="43" t="s">
        <v>113</v>
      </c>
      <c r="C515" s="665">
        <f>C516</f>
        <v>4000</v>
      </c>
      <c r="D515" s="665">
        <f t="shared" ref="D515:F516" si="194">D516</f>
        <v>0</v>
      </c>
      <c r="E515" s="665">
        <f t="shared" si="194"/>
        <v>0</v>
      </c>
      <c r="F515" s="665">
        <f t="shared" si="194"/>
        <v>0</v>
      </c>
      <c r="G515" s="666">
        <f t="shared" si="170"/>
        <v>0</v>
      </c>
      <c r="H515" s="666">
        <f t="shared" si="171"/>
        <v>0</v>
      </c>
    </row>
    <row r="516" spans="1:8" s="663" customFormat="1" x14ac:dyDescent="0.25">
      <c r="A516" s="39" t="s">
        <v>120</v>
      </c>
      <c r="B516" s="43" t="s">
        <v>121</v>
      </c>
      <c r="C516" s="665">
        <f>C517</f>
        <v>4000</v>
      </c>
      <c r="D516" s="665">
        <f t="shared" si="194"/>
        <v>0</v>
      </c>
      <c r="E516" s="665">
        <f t="shared" si="194"/>
        <v>0</v>
      </c>
      <c r="F516" s="665">
        <f t="shared" si="194"/>
        <v>0</v>
      </c>
      <c r="G516" s="666">
        <f t="shared" si="170"/>
        <v>0</v>
      </c>
      <c r="H516" s="666">
        <f t="shared" si="171"/>
        <v>0</v>
      </c>
    </row>
    <row r="517" spans="1:8" x14ac:dyDescent="0.25">
      <c r="A517" s="41" t="s">
        <v>522</v>
      </c>
      <c r="B517" s="44" t="s">
        <v>590</v>
      </c>
      <c r="C517" s="673">
        <v>4000</v>
      </c>
      <c r="D517" s="673"/>
      <c r="E517" s="673"/>
      <c r="F517" s="673"/>
      <c r="G517" s="675">
        <f t="shared" si="170"/>
        <v>0</v>
      </c>
      <c r="H517" s="675">
        <f t="shared" si="171"/>
        <v>0</v>
      </c>
    </row>
    <row r="518" spans="1:8" s="663" customFormat="1" x14ac:dyDescent="0.25">
      <c r="A518" s="39" t="s">
        <v>126</v>
      </c>
      <c r="B518" s="43" t="s">
        <v>127</v>
      </c>
      <c r="C518" s="665">
        <f>C519+C523+C524+C525</f>
        <v>106540.04000000001</v>
      </c>
      <c r="D518" s="665">
        <f>D519+D523+D524+D525</f>
        <v>96660</v>
      </c>
      <c r="E518" s="665">
        <f>E519+E523+E524+E525</f>
        <v>86010</v>
      </c>
      <c r="F518" s="665">
        <f t="shared" ref="F518" si="195">F519+F523+F524+F525</f>
        <v>86009.489999999991</v>
      </c>
      <c r="G518" s="666">
        <f t="shared" si="170"/>
        <v>88.98147113594041</v>
      </c>
      <c r="H518" s="666">
        <f t="shared" si="171"/>
        <v>99.999407045692351</v>
      </c>
    </row>
    <row r="519" spans="1:8" s="663" customFormat="1" x14ac:dyDescent="0.25">
      <c r="A519" s="39" t="s">
        <v>130</v>
      </c>
      <c r="B519" s="43" t="s">
        <v>131</v>
      </c>
      <c r="C519" s="665">
        <f>SUM(C520:C522)</f>
        <v>64234.04</v>
      </c>
      <c r="D519" s="665">
        <f>SUM(D520:D522)</f>
        <v>64440</v>
      </c>
      <c r="E519" s="665">
        <f>SUM(E520:E522)</f>
        <v>46010</v>
      </c>
      <c r="F519" s="665">
        <f t="shared" ref="F519" si="196">SUM(F520:F522)</f>
        <v>46009.49</v>
      </c>
      <c r="G519" s="666">
        <f t="shared" ref="G519:G582" si="197">IFERROR(F519/D519*100,F519)</f>
        <v>71.398960273122285</v>
      </c>
      <c r="H519" s="666">
        <f t="shared" ref="H519:H582" si="198">IFERROR(F519/E519*100,F519)</f>
        <v>99.998891545316226</v>
      </c>
    </row>
    <row r="520" spans="1:8" s="663" customFormat="1" x14ac:dyDescent="0.25">
      <c r="A520" s="41">
        <v>32321</v>
      </c>
      <c r="B520" s="44" t="s">
        <v>413</v>
      </c>
      <c r="C520" s="673">
        <v>15000</v>
      </c>
      <c r="D520" s="673">
        <v>16110</v>
      </c>
      <c r="E520" s="673">
        <v>20641</v>
      </c>
      <c r="F520" s="673">
        <v>20641</v>
      </c>
      <c r="G520" s="675">
        <f t="shared" si="197"/>
        <v>128.1253879577902</v>
      </c>
      <c r="H520" s="675">
        <f t="shared" si="198"/>
        <v>100</v>
      </c>
    </row>
    <row r="521" spans="1:8" s="663" customFormat="1" x14ac:dyDescent="0.25">
      <c r="A521" s="41">
        <v>32322</v>
      </c>
      <c r="B521" s="44" t="s">
        <v>414</v>
      </c>
      <c r="C521" s="673">
        <v>8000</v>
      </c>
      <c r="D521" s="673">
        <v>16110</v>
      </c>
      <c r="E521" s="673">
        <v>10760</v>
      </c>
      <c r="F521" s="673">
        <v>10760</v>
      </c>
      <c r="G521" s="675">
        <f t="shared" si="197"/>
        <v>66.790813159528241</v>
      </c>
      <c r="H521" s="675">
        <f t="shared" si="198"/>
        <v>100</v>
      </c>
    </row>
    <row r="522" spans="1:8" x14ac:dyDescent="0.25">
      <c r="A522" s="41">
        <v>32323</v>
      </c>
      <c r="B522" s="44" t="s">
        <v>412</v>
      </c>
      <c r="C522" s="673">
        <v>41234.04</v>
      </c>
      <c r="D522" s="673">
        <v>32220</v>
      </c>
      <c r="E522" s="673">
        <v>14609</v>
      </c>
      <c r="F522" s="673">
        <v>14608.49</v>
      </c>
      <c r="G522" s="675">
        <f t="shared" si="197"/>
        <v>45.339819987585351</v>
      </c>
      <c r="H522" s="675">
        <f t="shared" si="198"/>
        <v>99.996509001300566</v>
      </c>
    </row>
    <row r="523" spans="1:8" hidden="1" x14ac:dyDescent="0.25">
      <c r="A523" s="39" t="s">
        <v>132</v>
      </c>
      <c r="B523" s="43" t="s">
        <v>133</v>
      </c>
      <c r="C523" s="665"/>
      <c r="D523" s="665"/>
      <c r="E523" s="665"/>
      <c r="F523" s="665"/>
      <c r="G523" s="666">
        <f t="shared" si="197"/>
        <v>0</v>
      </c>
      <c r="H523" s="666">
        <f t="shared" si="198"/>
        <v>0</v>
      </c>
    </row>
    <row r="524" spans="1:8" hidden="1" x14ac:dyDescent="0.25">
      <c r="A524" s="39" t="s">
        <v>218</v>
      </c>
      <c r="B524" s="43" t="s">
        <v>138</v>
      </c>
      <c r="C524" s="665"/>
      <c r="D524" s="665"/>
      <c r="E524" s="665"/>
      <c r="F524" s="665"/>
      <c r="G524" s="666">
        <f t="shared" si="197"/>
        <v>0</v>
      </c>
      <c r="H524" s="666">
        <f t="shared" si="198"/>
        <v>0</v>
      </c>
    </row>
    <row r="525" spans="1:8" x14ac:dyDescent="0.25">
      <c r="A525" s="39" t="s">
        <v>139</v>
      </c>
      <c r="B525" s="43" t="s">
        <v>140</v>
      </c>
      <c r="C525" s="665">
        <f>SUM(C526)</f>
        <v>42306</v>
      </c>
      <c r="D525" s="665">
        <f>SUM(D526)</f>
        <v>32220</v>
      </c>
      <c r="E525" s="665">
        <f>SUM(E526)</f>
        <v>40000</v>
      </c>
      <c r="F525" s="665">
        <f t="shared" ref="F525" si="199">SUM(F526)</f>
        <v>40000</v>
      </c>
      <c r="G525" s="666">
        <f t="shared" si="197"/>
        <v>124.14649286157666</v>
      </c>
      <c r="H525" s="666">
        <f t="shared" si="198"/>
        <v>100</v>
      </c>
    </row>
    <row r="526" spans="1:8" x14ac:dyDescent="0.25">
      <c r="A526" s="41" t="s">
        <v>504</v>
      </c>
      <c r="B526" s="44" t="s">
        <v>424</v>
      </c>
      <c r="C526" s="673">
        <v>42306</v>
      </c>
      <c r="D526" s="673">
        <v>32220</v>
      </c>
      <c r="E526" s="673">
        <v>40000</v>
      </c>
      <c r="F526" s="673">
        <v>40000</v>
      </c>
      <c r="G526" s="675">
        <f t="shared" si="197"/>
        <v>124.14649286157666</v>
      </c>
      <c r="H526" s="675">
        <f t="shared" si="198"/>
        <v>100</v>
      </c>
    </row>
    <row r="527" spans="1:8" x14ac:dyDescent="0.25">
      <c r="A527" s="734">
        <v>4</v>
      </c>
      <c r="B527" s="735" t="s">
        <v>174</v>
      </c>
      <c r="C527" s="736">
        <f>SUM(C528,C539)</f>
        <v>255509.51</v>
      </c>
      <c r="D527" s="736">
        <f>SUM(D528,D539)</f>
        <v>265723.70999999996</v>
      </c>
      <c r="E527" s="736">
        <f>SUM(E528,E539)</f>
        <v>265276</v>
      </c>
      <c r="F527" s="736">
        <f t="shared" ref="F527" si="200">SUM(F528,F539)</f>
        <v>265116</v>
      </c>
      <c r="G527" s="737">
        <f t="shared" si="197"/>
        <v>99.771300046954806</v>
      </c>
      <c r="H527" s="737">
        <f t="shared" si="198"/>
        <v>99.939685459672191</v>
      </c>
    </row>
    <row r="528" spans="1:8" x14ac:dyDescent="0.25">
      <c r="A528" s="750">
        <v>42</v>
      </c>
      <c r="B528" s="747" t="s">
        <v>354</v>
      </c>
      <c r="C528" s="748">
        <f>C529</f>
        <v>108623.04000000001</v>
      </c>
      <c r="D528" s="748">
        <f>D529</f>
        <v>135136.04999999999</v>
      </c>
      <c r="E528" s="748">
        <f>E529</f>
        <v>180994.84</v>
      </c>
      <c r="F528" s="748">
        <f t="shared" ref="F528" si="201">F529</f>
        <v>180994.84</v>
      </c>
      <c r="G528" s="749">
        <f t="shared" si="197"/>
        <v>133.93527485818922</v>
      </c>
      <c r="H528" s="749">
        <f t="shared" si="198"/>
        <v>100</v>
      </c>
    </row>
    <row r="529" spans="1:8" x14ac:dyDescent="0.25">
      <c r="A529" s="47">
        <v>422</v>
      </c>
      <c r="B529" s="51" t="s">
        <v>184</v>
      </c>
      <c r="C529" s="665">
        <f>C530+C533+C535+C537</f>
        <v>108623.04000000001</v>
      </c>
      <c r="D529" s="665">
        <f>D530+D533+D535+D537</f>
        <v>135136.04999999999</v>
      </c>
      <c r="E529" s="665">
        <f>E530+E533+E535+E537</f>
        <v>180994.84</v>
      </c>
      <c r="F529" s="665">
        <f>F530+F533+F535+F537</f>
        <v>180994.84</v>
      </c>
      <c r="G529" s="666">
        <f t="shared" si="197"/>
        <v>133.93527485818922</v>
      </c>
      <c r="H529" s="666">
        <f t="shared" si="198"/>
        <v>100</v>
      </c>
    </row>
    <row r="530" spans="1:8" x14ac:dyDescent="0.25">
      <c r="A530" s="47">
        <v>4221</v>
      </c>
      <c r="B530" s="51" t="s">
        <v>186</v>
      </c>
      <c r="C530" s="665">
        <f>SUM(C531:C532)</f>
        <v>950.63</v>
      </c>
      <c r="D530" s="665">
        <f>SUM(D531:D532)</f>
        <v>27345.38</v>
      </c>
      <c r="E530" s="665">
        <f>SUM(E531:E532)</f>
        <v>315</v>
      </c>
      <c r="F530" s="665">
        <f t="shared" ref="F530" si="202">SUM(F531:F532)</f>
        <v>315</v>
      </c>
      <c r="G530" s="666">
        <f t="shared" si="197"/>
        <v>1.1519313317276993</v>
      </c>
      <c r="H530" s="666">
        <f t="shared" si="198"/>
        <v>100</v>
      </c>
    </row>
    <row r="531" spans="1:8" x14ac:dyDescent="0.25">
      <c r="A531" s="49">
        <v>42211</v>
      </c>
      <c r="B531" s="56" t="s">
        <v>444</v>
      </c>
      <c r="C531" s="673">
        <v>370.63</v>
      </c>
      <c r="D531" s="673">
        <v>5865.38</v>
      </c>
      <c r="E531" s="673">
        <v>0</v>
      </c>
      <c r="F531" s="673"/>
      <c r="G531" s="675">
        <f t="shared" si="197"/>
        <v>0</v>
      </c>
      <c r="H531" s="675">
        <f t="shared" si="198"/>
        <v>0</v>
      </c>
    </row>
    <row r="532" spans="1:8" x14ac:dyDescent="0.25">
      <c r="A532" s="49">
        <v>42212</v>
      </c>
      <c r="B532" s="56" t="s">
        <v>445</v>
      </c>
      <c r="C532" s="673">
        <v>580</v>
      </c>
      <c r="D532" s="673">
        <v>21480</v>
      </c>
      <c r="E532" s="673">
        <v>315</v>
      </c>
      <c r="F532" s="673">
        <v>315</v>
      </c>
      <c r="G532" s="675">
        <f t="shared" si="197"/>
        <v>1.4664804469273742</v>
      </c>
      <c r="H532" s="675">
        <f t="shared" si="198"/>
        <v>100</v>
      </c>
    </row>
    <row r="533" spans="1:8" x14ac:dyDescent="0.25">
      <c r="A533" s="47">
        <v>4223</v>
      </c>
      <c r="B533" s="51" t="s">
        <v>189</v>
      </c>
      <c r="C533" s="665">
        <f>C534</f>
        <v>3832.41</v>
      </c>
      <c r="D533" s="665">
        <f>D534</f>
        <v>7518</v>
      </c>
      <c r="E533" s="665">
        <f>E534</f>
        <v>2816.73</v>
      </c>
      <c r="F533" s="665">
        <f>F534</f>
        <v>2816.73</v>
      </c>
      <c r="G533" s="666">
        <f t="shared" si="197"/>
        <v>37.466480446927378</v>
      </c>
      <c r="H533" s="666">
        <f t="shared" si="198"/>
        <v>100</v>
      </c>
    </row>
    <row r="534" spans="1:8" x14ac:dyDescent="0.25">
      <c r="A534" s="49">
        <v>42231</v>
      </c>
      <c r="B534" s="56" t="s">
        <v>448</v>
      </c>
      <c r="C534" s="673">
        <v>3832.41</v>
      </c>
      <c r="D534" s="673">
        <v>7518</v>
      </c>
      <c r="E534" s="673">
        <v>2816.73</v>
      </c>
      <c r="F534" s="673">
        <v>2816.73</v>
      </c>
      <c r="G534" s="675">
        <f t="shared" si="197"/>
        <v>37.466480446927378</v>
      </c>
      <c r="H534" s="675">
        <f t="shared" si="198"/>
        <v>100</v>
      </c>
    </row>
    <row r="535" spans="1:8" x14ac:dyDescent="0.25">
      <c r="A535" s="47">
        <v>4224</v>
      </c>
      <c r="B535" s="51" t="s">
        <v>190</v>
      </c>
      <c r="C535" s="665">
        <f>SUM(C536)</f>
        <v>59927.5</v>
      </c>
      <c r="D535" s="665">
        <f>SUM(D536)</f>
        <v>62365.84</v>
      </c>
      <c r="E535" s="665">
        <f>SUM(E536)</f>
        <v>146018.10999999999</v>
      </c>
      <c r="F535" s="665">
        <f t="shared" ref="F535" si="203">SUM(F536)</f>
        <v>146018.10999999999</v>
      </c>
      <c r="G535" s="666">
        <f t="shared" si="197"/>
        <v>234.13155342732495</v>
      </c>
      <c r="H535" s="666">
        <f t="shared" si="198"/>
        <v>100</v>
      </c>
    </row>
    <row r="536" spans="1:8" x14ac:dyDescent="0.25">
      <c r="A536" s="49">
        <v>42241</v>
      </c>
      <c r="B536" s="56" t="s">
        <v>449</v>
      </c>
      <c r="C536" s="673">
        <v>59927.5</v>
      </c>
      <c r="D536" s="673">
        <v>62365.84</v>
      </c>
      <c r="E536" s="673">
        <v>146018.10999999999</v>
      </c>
      <c r="F536" s="673">
        <v>146018.10999999999</v>
      </c>
      <c r="G536" s="675">
        <f t="shared" si="197"/>
        <v>234.13155342732495</v>
      </c>
      <c r="H536" s="675">
        <f t="shared" si="198"/>
        <v>100</v>
      </c>
    </row>
    <row r="537" spans="1:8" x14ac:dyDescent="0.25">
      <c r="A537" s="47">
        <v>4225</v>
      </c>
      <c r="B537" s="51" t="s">
        <v>191</v>
      </c>
      <c r="C537" s="665">
        <f>SUM(C538)</f>
        <v>43912.5</v>
      </c>
      <c r="D537" s="665">
        <f>SUM(D538)</f>
        <v>37906.83</v>
      </c>
      <c r="E537" s="665">
        <f>SUM(E538)</f>
        <v>31845</v>
      </c>
      <c r="F537" s="665">
        <f t="shared" ref="F537" si="204">SUM(F538)</f>
        <v>31845</v>
      </c>
      <c r="G537" s="666">
        <f t="shared" si="197"/>
        <v>84.008607419823818</v>
      </c>
      <c r="H537" s="666">
        <f t="shared" si="198"/>
        <v>100</v>
      </c>
    </row>
    <row r="538" spans="1:8" x14ac:dyDescent="0.25">
      <c r="A538" s="49">
        <v>42259</v>
      </c>
      <c r="B538" s="56" t="s">
        <v>619</v>
      </c>
      <c r="C538" s="673">
        <v>43912.5</v>
      </c>
      <c r="D538" s="673">
        <v>37906.83</v>
      </c>
      <c r="E538" s="673">
        <v>31845</v>
      </c>
      <c r="F538" s="673">
        <v>31845</v>
      </c>
      <c r="G538" s="675">
        <f t="shared" si="197"/>
        <v>84.008607419823818</v>
      </c>
      <c r="H538" s="675">
        <f t="shared" si="198"/>
        <v>100</v>
      </c>
    </row>
    <row r="539" spans="1:8" x14ac:dyDescent="0.25">
      <c r="A539" s="746" t="s">
        <v>196</v>
      </c>
      <c r="B539" s="752" t="s">
        <v>197</v>
      </c>
      <c r="C539" s="748">
        <f t="shared" ref="C539:E541" si="205">SUM(C540)</f>
        <v>146886.47</v>
      </c>
      <c r="D539" s="748">
        <f t="shared" si="205"/>
        <v>130587.66</v>
      </c>
      <c r="E539" s="748">
        <f t="shared" si="205"/>
        <v>84281.16</v>
      </c>
      <c r="F539" s="748">
        <f t="shared" ref="F539:F541" si="206">SUM(F540)</f>
        <v>84121.16</v>
      </c>
      <c r="G539" s="749">
        <f t="shared" si="197"/>
        <v>64.417388289215069</v>
      </c>
      <c r="H539" s="749">
        <f t="shared" si="198"/>
        <v>99.810159233688765</v>
      </c>
    </row>
    <row r="540" spans="1:8" x14ac:dyDescent="0.25">
      <c r="A540" s="39" t="s">
        <v>198</v>
      </c>
      <c r="B540" s="40" t="s">
        <v>199</v>
      </c>
      <c r="C540" s="665">
        <f t="shared" si="205"/>
        <v>146886.47</v>
      </c>
      <c r="D540" s="665">
        <f t="shared" si="205"/>
        <v>130587.66</v>
      </c>
      <c r="E540" s="665">
        <f t="shared" si="205"/>
        <v>84281.16</v>
      </c>
      <c r="F540" s="665">
        <f t="shared" si="206"/>
        <v>84121.16</v>
      </c>
      <c r="G540" s="666">
        <f t="shared" si="197"/>
        <v>64.417388289215069</v>
      </c>
      <c r="H540" s="666">
        <f t="shared" si="198"/>
        <v>99.810159233688765</v>
      </c>
    </row>
    <row r="541" spans="1:8" x14ac:dyDescent="0.25">
      <c r="A541" s="41" t="s">
        <v>200</v>
      </c>
      <c r="B541" s="42" t="s">
        <v>199</v>
      </c>
      <c r="C541" s="665">
        <f t="shared" si="205"/>
        <v>146886.47</v>
      </c>
      <c r="D541" s="665">
        <f t="shared" si="205"/>
        <v>130587.66</v>
      </c>
      <c r="E541" s="665">
        <f t="shared" si="205"/>
        <v>84281.16</v>
      </c>
      <c r="F541" s="665">
        <f t="shared" si="206"/>
        <v>84121.16</v>
      </c>
      <c r="G541" s="666">
        <f t="shared" si="197"/>
        <v>64.417388289215069</v>
      </c>
      <c r="H541" s="666">
        <f t="shared" si="198"/>
        <v>99.810159233688765</v>
      </c>
    </row>
    <row r="542" spans="1:8" ht="17.25" customHeight="1" x14ac:dyDescent="0.25">
      <c r="A542" s="41" t="s">
        <v>494</v>
      </c>
      <c r="B542" s="42" t="s">
        <v>199</v>
      </c>
      <c r="C542" s="673">
        <v>146886.47</v>
      </c>
      <c r="D542" s="673">
        <v>130587.66</v>
      </c>
      <c r="E542" s="673">
        <v>84281.16</v>
      </c>
      <c r="F542" s="673">
        <v>84121.16</v>
      </c>
      <c r="G542" s="675">
        <f t="shared" si="197"/>
        <v>64.417388289215069</v>
      </c>
      <c r="H542" s="675">
        <f t="shared" si="198"/>
        <v>99.810159233688765</v>
      </c>
    </row>
    <row r="543" spans="1:8" s="676" customFormat="1" ht="58.5" x14ac:dyDescent="0.25">
      <c r="A543" s="730" t="s">
        <v>312</v>
      </c>
      <c r="B543" s="742" t="s">
        <v>355</v>
      </c>
      <c r="C543" s="743">
        <f t="shared" ref="C543:F544" si="207">C544</f>
        <v>3185.2799999999997</v>
      </c>
      <c r="D543" s="743">
        <f t="shared" si="207"/>
        <v>0</v>
      </c>
      <c r="E543" s="743">
        <f t="shared" si="207"/>
        <v>0</v>
      </c>
      <c r="F543" s="743">
        <f t="shared" si="207"/>
        <v>0</v>
      </c>
      <c r="G543" s="744">
        <f t="shared" si="197"/>
        <v>0</v>
      </c>
      <c r="H543" s="744">
        <f t="shared" si="198"/>
        <v>0</v>
      </c>
    </row>
    <row r="544" spans="1:8" s="706" customFormat="1" x14ac:dyDescent="0.25">
      <c r="A544" s="720" t="s">
        <v>352</v>
      </c>
      <c r="B544" s="721" t="s">
        <v>353</v>
      </c>
      <c r="C544" s="724">
        <f t="shared" si="207"/>
        <v>3185.2799999999997</v>
      </c>
      <c r="D544" s="724">
        <f t="shared" si="207"/>
        <v>0</v>
      </c>
      <c r="E544" s="724">
        <f t="shared" si="207"/>
        <v>0</v>
      </c>
      <c r="F544" s="724">
        <f t="shared" si="207"/>
        <v>0</v>
      </c>
      <c r="G544" s="725">
        <f t="shared" si="197"/>
        <v>0</v>
      </c>
      <c r="H544" s="725">
        <f t="shared" si="198"/>
        <v>0</v>
      </c>
    </row>
    <row r="545" spans="1:8" s="707" customFormat="1" x14ac:dyDescent="0.25">
      <c r="A545" s="738" t="s">
        <v>86</v>
      </c>
      <c r="B545" s="735" t="s">
        <v>87</v>
      </c>
      <c r="C545" s="736">
        <f>C546+C555</f>
        <v>3185.2799999999997</v>
      </c>
      <c r="D545" s="736">
        <f>D546+D555</f>
        <v>0</v>
      </c>
      <c r="E545" s="736">
        <f>E546+E555</f>
        <v>0</v>
      </c>
      <c r="F545" s="736">
        <f t="shared" ref="F545" si="208">F546+F555</f>
        <v>0</v>
      </c>
      <c r="G545" s="737">
        <f t="shared" si="197"/>
        <v>0</v>
      </c>
      <c r="H545" s="737">
        <f t="shared" si="198"/>
        <v>0</v>
      </c>
    </row>
    <row r="546" spans="1:8" x14ac:dyDescent="0.25">
      <c r="A546" s="746">
        <v>31</v>
      </c>
      <c r="B546" s="747" t="s">
        <v>88</v>
      </c>
      <c r="C546" s="748">
        <f>C547+C550+C552</f>
        <v>3185.2799999999997</v>
      </c>
      <c r="D546" s="748">
        <f>D547+D550+D552</f>
        <v>0</v>
      </c>
      <c r="E546" s="748">
        <f>E547+E550+E552</f>
        <v>0</v>
      </c>
      <c r="F546" s="748">
        <f t="shared" ref="F546" si="209">F547+F550+F552</f>
        <v>0</v>
      </c>
      <c r="G546" s="749">
        <f t="shared" si="197"/>
        <v>0</v>
      </c>
      <c r="H546" s="749">
        <f t="shared" si="198"/>
        <v>0</v>
      </c>
    </row>
    <row r="547" spans="1:8" x14ac:dyDescent="0.25">
      <c r="A547" s="39">
        <v>311</v>
      </c>
      <c r="B547" s="40" t="s">
        <v>89</v>
      </c>
      <c r="C547" s="665">
        <f t="shared" ref="C547:E548" si="210">SUM(C548)</f>
        <v>2734.16</v>
      </c>
      <c r="D547" s="665">
        <f t="shared" si="210"/>
        <v>0</v>
      </c>
      <c r="E547" s="665">
        <f t="shared" si="210"/>
        <v>0</v>
      </c>
      <c r="F547" s="665">
        <f t="shared" ref="F547" si="211">F549</f>
        <v>0</v>
      </c>
      <c r="G547" s="666">
        <f t="shared" si="197"/>
        <v>0</v>
      </c>
      <c r="H547" s="666">
        <f t="shared" si="198"/>
        <v>0</v>
      </c>
    </row>
    <row r="548" spans="1:8" x14ac:dyDescent="0.25">
      <c r="A548" s="39">
        <v>3111</v>
      </c>
      <c r="B548" s="40" t="s">
        <v>90</v>
      </c>
      <c r="C548" s="665">
        <f t="shared" si="210"/>
        <v>2734.16</v>
      </c>
      <c r="D548" s="665">
        <f t="shared" si="210"/>
        <v>0</v>
      </c>
      <c r="E548" s="665">
        <f t="shared" si="210"/>
        <v>0</v>
      </c>
      <c r="F548" s="665">
        <f t="shared" ref="F548" si="212">SUM(F549)</f>
        <v>0</v>
      </c>
      <c r="G548" s="666">
        <f t="shared" si="197"/>
        <v>0</v>
      </c>
      <c r="H548" s="666">
        <f t="shared" si="198"/>
        <v>0</v>
      </c>
    </row>
    <row r="549" spans="1:8" x14ac:dyDescent="0.25">
      <c r="A549" s="41" t="s">
        <v>465</v>
      </c>
      <c r="B549" s="42" t="s">
        <v>90</v>
      </c>
      <c r="C549" s="673">
        <v>2734.16</v>
      </c>
      <c r="D549" s="673">
        <v>0</v>
      </c>
      <c r="E549" s="673"/>
      <c r="F549" s="673"/>
      <c r="G549" s="675">
        <f t="shared" si="197"/>
        <v>0</v>
      </c>
      <c r="H549" s="675">
        <f t="shared" si="198"/>
        <v>0</v>
      </c>
    </row>
    <row r="550" spans="1:8" hidden="1" x14ac:dyDescent="0.25">
      <c r="A550" s="39" t="s">
        <v>97</v>
      </c>
      <c r="B550" s="40" t="s">
        <v>98</v>
      </c>
      <c r="C550" s="665">
        <f>C551</f>
        <v>0</v>
      </c>
      <c r="D550" s="665">
        <f>D551</f>
        <v>0</v>
      </c>
      <c r="E550" s="665">
        <f>E551</f>
        <v>0</v>
      </c>
      <c r="F550" s="665">
        <f t="shared" ref="F550" si="213">F551</f>
        <v>0</v>
      </c>
      <c r="G550" s="666">
        <f t="shared" si="197"/>
        <v>0</v>
      </c>
      <c r="H550" s="666">
        <f t="shared" si="198"/>
        <v>0</v>
      </c>
    </row>
    <row r="551" spans="1:8" hidden="1" x14ac:dyDescent="0.25">
      <c r="A551" s="41" t="s">
        <v>99</v>
      </c>
      <c r="B551" s="42" t="s">
        <v>98</v>
      </c>
      <c r="C551" s="673"/>
      <c r="D551" s="673"/>
      <c r="E551" s="673"/>
      <c r="F551" s="673"/>
      <c r="G551" s="675">
        <f t="shared" si="197"/>
        <v>0</v>
      </c>
      <c r="H551" s="675">
        <f t="shared" si="198"/>
        <v>0</v>
      </c>
    </row>
    <row r="552" spans="1:8" x14ac:dyDescent="0.25">
      <c r="A552" s="39" t="s">
        <v>212</v>
      </c>
      <c r="B552" s="40" t="s">
        <v>100</v>
      </c>
      <c r="C552" s="665">
        <f t="shared" ref="C552:E553" si="214">SUM(C553)</f>
        <v>451.12</v>
      </c>
      <c r="D552" s="665">
        <f t="shared" si="214"/>
        <v>0</v>
      </c>
      <c r="E552" s="665">
        <f t="shared" si="214"/>
        <v>0</v>
      </c>
      <c r="F552" s="665">
        <f t="shared" ref="F552:F553" si="215">SUM(F553)</f>
        <v>0</v>
      </c>
      <c r="G552" s="666">
        <f t="shared" si="197"/>
        <v>0</v>
      </c>
      <c r="H552" s="666">
        <f t="shared" si="198"/>
        <v>0</v>
      </c>
    </row>
    <row r="553" spans="1:8" x14ac:dyDescent="0.25">
      <c r="A553" s="39" t="s">
        <v>213</v>
      </c>
      <c r="B553" s="40" t="s">
        <v>101</v>
      </c>
      <c r="C553" s="665">
        <f t="shared" si="214"/>
        <v>451.12</v>
      </c>
      <c r="D553" s="665">
        <f t="shared" si="214"/>
        <v>0</v>
      </c>
      <c r="E553" s="665">
        <f t="shared" si="214"/>
        <v>0</v>
      </c>
      <c r="F553" s="665">
        <f t="shared" si="215"/>
        <v>0</v>
      </c>
      <c r="G553" s="666">
        <f t="shared" si="197"/>
        <v>0</v>
      </c>
      <c r="H553" s="666">
        <f t="shared" si="198"/>
        <v>0</v>
      </c>
    </row>
    <row r="554" spans="1:8" x14ac:dyDescent="0.25">
      <c r="A554" s="41" t="s">
        <v>475</v>
      </c>
      <c r="B554" s="42" t="s">
        <v>101</v>
      </c>
      <c r="C554" s="673">
        <v>451.12</v>
      </c>
      <c r="D554" s="673">
        <v>0</v>
      </c>
      <c r="E554" s="673"/>
      <c r="F554" s="673"/>
      <c r="G554" s="675">
        <f t="shared" si="197"/>
        <v>0</v>
      </c>
      <c r="H554" s="675">
        <f t="shared" si="198"/>
        <v>0</v>
      </c>
    </row>
    <row r="555" spans="1:8" s="663" customFormat="1" hidden="1" x14ac:dyDescent="0.25">
      <c r="A555" s="746" t="s">
        <v>356</v>
      </c>
      <c r="B555" s="751" t="s">
        <v>102</v>
      </c>
      <c r="C555" s="748">
        <f>C556+C558+C560</f>
        <v>0</v>
      </c>
      <c r="D555" s="748">
        <f>D556+D558+D560</f>
        <v>0</v>
      </c>
      <c r="E555" s="748">
        <f>E556+E558+E560</f>
        <v>0</v>
      </c>
      <c r="F555" s="748">
        <f t="shared" ref="F555" si="216">F556+F558+F560</f>
        <v>0</v>
      </c>
      <c r="G555" s="749">
        <f t="shared" si="197"/>
        <v>0</v>
      </c>
      <c r="H555" s="749">
        <f t="shared" si="198"/>
        <v>0</v>
      </c>
    </row>
    <row r="556" spans="1:8" s="663" customFormat="1" hidden="1" x14ac:dyDescent="0.25">
      <c r="A556" s="39" t="s">
        <v>215</v>
      </c>
      <c r="B556" s="40" t="s">
        <v>103</v>
      </c>
      <c r="C556" s="665">
        <f>C557</f>
        <v>0</v>
      </c>
      <c r="D556" s="665">
        <f>D557</f>
        <v>0</v>
      </c>
      <c r="E556" s="665">
        <f>E557</f>
        <v>0</v>
      </c>
      <c r="F556" s="665">
        <f t="shared" ref="F556" si="217">F557</f>
        <v>0</v>
      </c>
      <c r="G556" s="666">
        <f t="shared" si="197"/>
        <v>0</v>
      </c>
      <c r="H556" s="666">
        <f t="shared" si="198"/>
        <v>0</v>
      </c>
    </row>
    <row r="557" spans="1:8" hidden="1" x14ac:dyDescent="0.25">
      <c r="A557" s="41" t="s">
        <v>106</v>
      </c>
      <c r="B557" s="42" t="s">
        <v>107</v>
      </c>
      <c r="C557" s="673"/>
      <c r="D557" s="673"/>
      <c r="E557" s="673"/>
      <c r="F557" s="673"/>
      <c r="G557" s="675">
        <f t="shared" si="197"/>
        <v>0</v>
      </c>
      <c r="H557" s="675">
        <f t="shared" si="198"/>
        <v>0</v>
      </c>
    </row>
    <row r="558" spans="1:8" s="663" customFormat="1" hidden="1" x14ac:dyDescent="0.25">
      <c r="A558" s="39" t="s">
        <v>112</v>
      </c>
      <c r="B558" s="40" t="s">
        <v>113</v>
      </c>
      <c r="C558" s="665">
        <f>C559</f>
        <v>0</v>
      </c>
      <c r="D558" s="665">
        <f>D559</f>
        <v>0</v>
      </c>
      <c r="E558" s="665">
        <f>E559</f>
        <v>0</v>
      </c>
      <c r="F558" s="665">
        <f t="shared" ref="F558" si="218">F559</f>
        <v>0</v>
      </c>
      <c r="G558" s="666">
        <f t="shared" si="197"/>
        <v>0</v>
      </c>
      <c r="H558" s="666">
        <f t="shared" si="198"/>
        <v>0</v>
      </c>
    </row>
    <row r="559" spans="1:8" hidden="1" x14ac:dyDescent="0.25">
      <c r="A559" s="41" t="s">
        <v>118</v>
      </c>
      <c r="B559" s="42" t="s">
        <v>119</v>
      </c>
      <c r="C559" s="673"/>
      <c r="D559" s="673"/>
      <c r="E559" s="673"/>
      <c r="F559" s="673"/>
      <c r="G559" s="675">
        <f t="shared" si="197"/>
        <v>0</v>
      </c>
      <c r="H559" s="675">
        <f t="shared" si="198"/>
        <v>0</v>
      </c>
    </row>
    <row r="560" spans="1:8" s="663" customFormat="1" hidden="1" x14ac:dyDescent="0.25">
      <c r="A560" s="39" t="s">
        <v>126</v>
      </c>
      <c r="B560" s="40" t="s">
        <v>127</v>
      </c>
      <c r="C560" s="665">
        <f>C561</f>
        <v>0</v>
      </c>
      <c r="D560" s="665">
        <f>D561</f>
        <v>0</v>
      </c>
      <c r="E560" s="665">
        <f>E561</f>
        <v>0</v>
      </c>
      <c r="F560" s="665">
        <f t="shared" ref="F560" si="219">F561</f>
        <v>0</v>
      </c>
      <c r="G560" s="666">
        <f t="shared" si="197"/>
        <v>0</v>
      </c>
      <c r="H560" s="666">
        <f t="shared" si="198"/>
        <v>0</v>
      </c>
    </row>
    <row r="561" spans="1:10" hidden="1" x14ac:dyDescent="0.25">
      <c r="A561" s="41" t="s">
        <v>132</v>
      </c>
      <c r="B561" s="42" t="s">
        <v>133</v>
      </c>
      <c r="C561" s="673"/>
      <c r="D561" s="673"/>
      <c r="E561" s="673"/>
      <c r="F561" s="673"/>
      <c r="G561" s="675">
        <f t="shared" si="197"/>
        <v>0</v>
      </c>
      <c r="H561" s="675">
        <f t="shared" si="198"/>
        <v>0</v>
      </c>
    </row>
    <row r="562" spans="1:10" s="676" customFormat="1" ht="78" x14ac:dyDescent="0.25">
      <c r="A562" s="730" t="s">
        <v>312</v>
      </c>
      <c r="B562" s="742" t="s">
        <v>357</v>
      </c>
      <c r="C562" s="732">
        <f t="shared" ref="C562:E563" si="220">C563</f>
        <v>4778.0199999999995</v>
      </c>
      <c r="D562" s="732">
        <f t="shared" si="220"/>
        <v>4778.0199999999995</v>
      </c>
      <c r="E562" s="732">
        <f t="shared" si="220"/>
        <v>4778.0199999999995</v>
      </c>
      <c r="F562" s="732">
        <f t="shared" ref="F562:F563" si="221">F563</f>
        <v>4778.0200000000004</v>
      </c>
      <c r="G562" s="733">
        <f t="shared" si="197"/>
        <v>100.00000000000003</v>
      </c>
      <c r="H562" s="733">
        <f t="shared" si="198"/>
        <v>100.00000000000003</v>
      </c>
    </row>
    <row r="563" spans="1:10" s="708" customFormat="1" ht="15" x14ac:dyDescent="0.25">
      <c r="A563" s="720" t="s">
        <v>352</v>
      </c>
      <c r="B563" s="721" t="s">
        <v>353</v>
      </c>
      <c r="C563" s="724">
        <f t="shared" si="220"/>
        <v>4778.0199999999995</v>
      </c>
      <c r="D563" s="724">
        <f t="shared" si="220"/>
        <v>4778.0199999999995</v>
      </c>
      <c r="E563" s="724">
        <f t="shared" si="220"/>
        <v>4778.0199999999995</v>
      </c>
      <c r="F563" s="724">
        <f t="shared" si="221"/>
        <v>4778.0200000000004</v>
      </c>
      <c r="G563" s="725">
        <f t="shared" si="197"/>
        <v>100.00000000000003</v>
      </c>
      <c r="H563" s="725">
        <f t="shared" si="198"/>
        <v>100.00000000000003</v>
      </c>
    </row>
    <row r="564" spans="1:10" s="707" customFormat="1" x14ac:dyDescent="0.25">
      <c r="A564" s="738" t="s">
        <v>86</v>
      </c>
      <c r="B564" s="735" t="s">
        <v>87</v>
      </c>
      <c r="C564" s="736">
        <f>C565+C574</f>
        <v>4778.0199999999995</v>
      </c>
      <c r="D564" s="736">
        <f>D565+D574</f>
        <v>4778.0199999999995</v>
      </c>
      <c r="E564" s="736">
        <f>E565+E574</f>
        <v>4778.0199999999995</v>
      </c>
      <c r="F564" s="736">
        <f t="shared" ref="F564" si="222">F565+F574</f>
        <v>4778.0200000000004</v>
      </c>
      <c r="G564" s="737">
        <f t="shared" si="197"/>
        <v>100.00000000000003</v>
      </c>
      <c r="H564" s="737">
        <f t="shared" si="198"/>
        <v>100.00000000000003</v>
      </c>
    </row>
    <row r="565" spans="1:10" x14ac:dyDescent="0.25">
      <c r="A565" s="746">
        <v>31</v>
      </c>
      <c r="B565" s="747" t="s">
        <v>88</v>
      </c>
      <c r="C565" s="748">
        <f>C566+C569+C571</f>
        <v>4778.0199999999995</v>
      </c>
      <c r="D565" s="748">
        <f>D566+D569+D571</f>
        <v>4778.0199999999995</v>
      </c>
      <c r="E565" s="748">
        <f>E566+E569+E571</f>
        <v>4778.0199999999995</v>
      </c>
      <c r="F565" s="748">
        <f t="shared" ref="F565" si="223">F566+F569+F571</f>
        <v>3239.6800000000003</v>
      </c>
      <c r="G565" s="749">
        <f t="shared" si="197"/>
        <v>67.803818318048073</v>
      </c>
      <c r="H565" s="749">
        <f t="shared" si="198"/>
        <v>67.803818318048073</v>
      </c>
    </row>
    <row r="566" spans="1:10" x14ac:dyDescent="0.25">
      <c r="A566" s="39">
        <v>311</v>
      </c>
      <c r="B566" s="40" t="s">
        <v>89</v>
      </c>
      <c r="C566" s="665">
        <f t="shared" ref="C566:E567" si="224">SUM(C567)</f>
        <v>4101.32</v>
      </c>
      <c r="D566" s="665">
        <f t="shared" si="224"/>
        <v>4101.32</v>
      </c>
      <c r="E566" s="665">
        <f t="shared" si="224"/>
        <v>4101.32</v>
      </c>
      <c r="F566" s="665">
        <f t="shared" ref="F566:F567" si="225">SUM(F567)</f>
        <v>2780.84</v>
      </c>
      <c r="G566" s="666">
        <f t="shared" si="197"/>
        <v>67.803536422420109</v>
      </c>
      <c r="H566" s="666">
        <f t="shared" si="198"/>
        <v>67.803536422420109</v>
      </c>
    </row>
    <row r="567" spans="1:10" x14ac:dyDescent="0.25">
      <c r="A567" s="39">
        <v>3111</v>
      </c>
      <c r="B567" s="40" t="s">
        <v>90</v>
      </c>
      <c r="C567" s="665">
        <f t="shared" si="224"/>
        <v>4101.32</v>
      </c>
      <c r="D567" s="665">
        <f t="shared" si="224"/>
        <v>4101.32</v>
      </c>
      <c r="E567" s="665">
        <f t="shared" si="224"/>
        <v>4101.32</v>
      </c>
      <c r="F567" s="665">
        <f t="shared" si="225"/>
        <v>2780.84</v>
      </c>
      <c r="G567" s="666">
        <f t="shared" si="197"/>
        <v>67.803536422420109</v>
      </c>
      <c r="H567" s="666">
        <f t="shared" si="198"/>
        <v>67.803536422420109</v>
      </c>
    </row>
    <row r="568" spans="1:10" x14ac:dyDescent="0.25">
      <c r="A568" s="41" t="s">
        <v>465</v>
      </c>
      <c r="B568" s="42" t="s">
        <v>90</v>
      </c>
      <c r="C568" s="673">
        <v>4101.32</v>
      </c>
      <c r="D568" s="673">
        <v>4101.32</v>
      </c>
      <c r="E568" s="673">
        <v>4101.32</v>
      </c>
      <c r="F568" s="673">
        <v>2780.84</v>
      </c>
      <c r="G568" s="675">
        <f t="shared" si="197"/>
        <v>67.803536422420109</v>
      </c>
      <c r="H568" s="675">
        <f t="shared" si="198"/>
        <v>67.803536422420109</v>
      </c>
      <c r="I568" s="704"/>
      <c r="J568" s="704"/>
    </row>
    <row r="569" spans="1:10" hidden="1" x14ac:dyDescent="0.25">
      <c r="A569" s="39" t="s">
        <v>97</v>
      </c>
      <c r="B569" s="40" t="s">
        <v>98</v>
      </c>
      <c r="C569" s="665">
        <f>C570</f>
        <v>0</v>
      </c>
      <c r="D569" s="665">
        <f>D570</f>
        <v>0</v>
      </c>
      <c r="E569" s="665">
        <f>E570</f>
        <v>0</v>
      </c>
      <c r="F569" s="665">
        <f t="shared" ref="F569" si="226">F570</f>
        <v>0</v>
      </c>
      <c r="G569" s="666">
        <f t="shared" si="197"/>
        <v>0</v>
      </c>
      <c r="H569" s="666">
        <f t="shared" si="198"/>
        <v>0</v>
      </c>
    </row>
    <row r="570" spans="1:10" hidden="1" x14ac:dyDescent="0.25">
      <c r="A570" s="41" t="s">
        <v>99</v>
      </c>
      <c r="B570" s="42" t="s">
        <v>98</v>
      </c>
      <c r="C570" s="673"/>
      <c r="D570" s="673"/>
      <c r="E570" s="673"/>
      <c r="F570" s="673"/>
      <c r="G570" s="675">
        <f t="shared" si="197"/>
        <v>0</v>
      </c>
      <c r="H570" s="675">
        <f t="shared" si="198"/>
        <v>0</v>
      </c>
    </row>
    <row r="571" spans="1:10" x14ac:dyDescent="0.25">
      <c r="A571" s="39" t="s">
        <v>212</v>
      </c>
      <c r="B571" s="40" t="s">
        <v>100</v>
      </c>
      <c r="C571" s="665">
        <f t="shared" ref="C571:E572" si="227">SUM(C572)</f>
        <v>676.7</v>
      </c>
      <c r="D571" s="665">
        <f t="shared" si="227"/>
        <v>676.7</v>
      </c>
      <c r="E571" s="665">
        <f t="shared" si="227"/>
        <v>676.7</v>
      </c>
      <c r="F571" s="665">
        <f t="shared" ref="F571:F572" si="228">SUM(F572)</f>
        <v>458.84</v>
      </c>
      <c r="G571" s="666">
        <f t="shared" si="197"/>
        <v>67.805526821338844</v>
      </c>
      <c r="H571" s="666">
        <f t="shared" si="198"/>
        <v>67.805526821338844</v>
      </c>
    </row>
    <row r="572" spans="1:10" x14ac:dyDescent="0.25">
      <c r="A572" s="39" t="s">
        <v>213</v>
      </c>
      <c r="B572" s="40" t="s">
        <v>101</v>
      </c>
      <c r="C572" s="665">
        <f>SUM(C573)</f>
        <v>676.7</v>
      </c>
      <c r="D572" s="665">
        <f t="shared" si="227"/>
        <v>676.7</v>
      </c>
      <c r="E572" s="665">
        <f t="shared" si="227"/>
        <v>676.7</v>
      </c>
      <c r="F572" s="665">
        <f t="shared" si="228"/>
        <v>458.84</v>
      </c>
      <c r="G572" s="666">
        <f t="shared" si="197"/>
        <v>67.805526821338844</v>
      </c>
      <c r="H572" s="666">
        <f t="shared" si="198"/>
        <v>67.805526821338844</v>
      </c>
    </row>
    <row r="573" spans="1:10" x14ac:dyDescent="0.25">
      <c r="A573" s="41" t="s">
        <v>475</v>
      </c>
      <c r="B573" s="42" t="s">
        <v>101</v>
      </c>
      <c r="C573" s="673">
        <v>676.7</v>
      </c>
      <c r="D573" s="673">
        <v>676.7</v>
      </c>
      <c r="E573" s="673">
        <v>676.7</v>
      </c>
      <c r="F573" s="673">
        <v>458.84</v>
      </c>
      <c r="G573" s="675">
        <f t="shared" si="197"/>
        <v>67.805526821338844</v>
      </c>
      <c r="H573" s="675">
        <f t="shared" si="198"/>
        <v>67.805526821338844</v>
      </c>
      <c r="I573" s="704"/>
      <c r="J573" s="704"/>
    </row>
    <row r="574" spans="1:10" s="663" customFormat="1" x14ac:dyDescent="0.25">
      <c r="A574" s="746" t="s">
        <v>356</v>
      </c>
      <c r="B574" s="751" t="s">
        <v>102</v>
      </c>
      <c r="C574" s="748">
        <f>C575+C577+C579</f>
        <v>0</v>
      </c>
      <c r="D574" s="748">
        <f>D575+D577+D579</f>
        <v>0</v>
      </c>
      <c r="E574" s="748">
        <f>E575+E577+E579</f>
        <v>0</v>
      </c>
      <c r="F574" s="748">
        <f>F575+F577+F579+F581</f>
        <v>1538.34</v>
      </c>
      <c r="G574" s="749">
        <f t="shared" si="197"/>
        <v>1538.34</v>
      </c>
      <c r="H574" s="749">
        <f t="shared" si="198"/>
        <v>1538.34</v>
      </c>
    </row>
    <row r="575" spans="1:10" s="663" customFormat="1" hidden="1" x14ac:dyDescent="0.25">
      <c r="A575" s="39" t="s">
        <v>215</v>
      </c>
      <c r="B575" s="40" t="s">
        <v>103</v>
      </c>
      <c r="C575" s="665">
        <f>C576</f>
        <v>0</v>
      </c>
      <c r="D575" s="665">
        <f>D576</f>
        <v>0</v>
      </c>
      <c r="E575" s="665">
        <f>E576</f>
        <v>0</v>
      </c>
      <c r="F575" s="665">
        <f t="shared" ref="F575" si="229">F576</f>
        <v>0</v>
      </c>
      <c r="G575" s="666">
        <f t="shared" si="197"/>
        <v>0</v>
      </c>
      <c r="H575" s="666">
        <f t="shared" si="198"/>
        <v>0</v>
      </c>
    </row>
    <row r="576" spans="1:10" hidden="1" x14ac:dyDescent="0.25">
      <c r="A576" s="41" t="s">
        <v>106</v>
      </c>
      <c r="B576" s="42" t="s">
        <v>107</v>
      </c>
      <c r="C576" s="673"/>
      <c r="D576" s="673"/>
      <c r="E576" s="673"/>
      <c r="F576" s="673"/>
      <c r="G576" s="675">
        <f t="shared" si="197"/>
        <v>0</v>
      </c>
      <c r="H576" s="675">
        <f t="shared" si="198"/>
        <v>0</v>
      </c>
    </row>
    <row r="577" spans="1:8" s="663" customFormat="1" hidden="1" x14ac:dyDescent="0.25">
      <c r="A577" s="39" t="s">
        <v>112</v>
      </c>
      <c r="B577" s="40" t="s">
        <v>113</v>
      </c>
      <c r="C577" s="665">
        <f>C578</f>
        <v>0</v>
      </c>
      <c r="D577" s="665">
        <f>D578</f>
        <v>0</v>
      </c>
      <c r="E577" s="665">
        <f>E578</f>
        <v>0</v>
      </c>
      <c r="F577" s="665">
        <f t="shared" ref="F577" si="230">F578</f>
        <v>0</v>
      </c>
      <c r="G577" s="666">
        <f t="shared" si="197"/>
        <v>0</v>
      </c>
      <c r="H577" s="666">
        <f t="shared" si="198"/>
        <v>0</v>
      </c>
    </row>
    <row r="578" spans="1:8" hidden="1" x14ac:dyDescent="0.25">
      <c r="A578" s="41" t="s">
        <v>118</v>
      </c>
      <c r="B578" s="42" t="s">
        <v>119</v>
      </c>
      <c r="C578" s="673"/>
      <c r="D578" s="673"/>
      <c r="E578" s="673"/>
      <c r="F578" s="673"/>
      <c r="G578" s="675">
        <f t="shared" si="197"/>
        <v>0</v>
      </c>
      <c r="H578" s="675">
        <f t="shared" si="198"/>
        <v>0</v>
      </c>
    </row>
    <row r="579" spans="1:8" s="663" customFormat="1" hidden="1" x14ac:dyDescent="0.25">
      <c r="A579" s="39" t="s">
        <v>126</v>
      </c>
      <c r="B579" s="40" t="s">
        <v>127</v>
      </c>
      <c r="C579" s="665">
        <f>C580</f>
        <v>0</v>
      </c>
      <c r="D579" s="665">
        <f>D580</f>
        <v>0</v>
      </c>
      <c r="E579" s="665">
        <f>E580</f>
        <v>0</v>
      </c>
      <c r="F579" s="665">
        <f t="shared" ref="F579" si="231">F580</f>
        <v>0</v>
      </c>
      <c r="G579" s="666">
        <f t="shared" si="197"/>
        <v>0</v>
      </c>
      <c r="H579" s="666">
        <f t="shared" si="198"/>
        <v>0</v>
      </c>
    </row>
    <row r="580" spans="1:8" hidden="1" x14ac:dyDescent="0.25">
      <c r="A580" s="41" t="s">
        <v>132</v>
      </c>
      <c r="B580" s="42" t="s">
        <v>133</v>
      </c>
      <c r="C580" s="673"/>
      <c r="D580" s="673"/>
      <c r="E580" s="673"/>
      <c r="F580" s="673"/>
      <c r="G580" s="675">
        <f t="shared" si="197"/>
        <v>0</v>
      </c>
      <c r="H580" s="675">
        <f t="shared" si="198"/>
        <v>0</v>
      </c>
    </row>
    <row r="581" spans="1:8" x14ac:dyDescent="0.25">
      <c r="A581" s="39" t="s">
        <v>609</v>
      </c>
      <c r="B581" s="40" t="s">
        <v>127</v>
      </c>
      <c r="C581" s="665">
        <f t="shared" ref="C581:F582" si="232">C582</f>
        <v>0</v>
      </c>
      <c r="D581" s="665">
        <f t="shared" si="232"/>
        <v>0</v>
      </c>
      <c r="E581" s="665">
        <f t="shared" si="232"/>
        <v>0</v>
      </c>
      <c r="F581" s="665">
        <f t="shared" si="232"/>
        <v>1538.34</v>
      </c>
      <c r="G581" s="666">
        <f t="shared" si="197"/>
        <v>1538.34</v>
      </c>
      <c r="H581" s="666">
        <f t="shared" si="198"/>
        <v>1538.34</v>
      </c>
    </row>
    <row r="582" spans="1:8" x14ac:dyDescent="0.25">
      <c r="A582" s="39" t="s">
        <v>610</v>
      </c>
      <c r="B582" s="40" t="s">
        <v>142</v>
      </c>
      <c r="C582" s="665">
        <f t="shared" si="232"/>
        <v>0</v>
      </c>
      <c r="D582" s="665">
        <f t="shared" si="232"/>
        <v>0</v>
      </c>
      <c r="E582" s="665">
        <f t="shared" si="232"/>
        <v>0</v>
      </c>
      <c r="F582" s="665">
        <f t="shared" si="232"/>
        <v>1538.34</v>
      </c>
      <c r="G582" s="666">
        <f t="shared" si="197"/>
        <v>1538.34</v>
      </c>
      <c r="H582" s="666">
        <f t="shared" si="198"/>
        <v>1538.34</v>
      </c>
    </row>
    <row r="583" spans="1:8" x14ac:dyDescent="0.25">
      <c r="A583" s="41" t="s">
        <v>612</v>
      </c>
      <c r="B583" s="42" t="s">
        <v>614</v>
      </c>
      <c r="C583" s="673"/>
      <c r="D583" s="673"/>
      <c r="E583" s="673">
        <v>0</v>
      </c>
      <c r="F583" s="673">
        <v>1538.34</v>
      </c>
      <c r="G583" s="675">
        <f t="shared" ref="G583:G646" si="233">IFERROR(F583/D583*100,F583)</f>
        <v>1538.34</v>
      </c>
      <c r="H583" s="675">
        <f t="shared" ref="H583:H646" si="234">IFERROR(F583/E583*100,F583)</f>
        <v>1538.34</v>
      </c>
    </row>
    <row r="584" spans="1:8" s="676" customFormat="1" ht="58.5" x14ac:dyDescent="0.25">
      <c r="A584" s="730" t="s">
        <v>312</v>
      </c>
      <c r="B584" s="742" t="s">
        <v>358</v>
      </c>
      <c r="C584" s="732">
        <f t="shared" ref="C584:E585" si="235">C585</f>
        <v>2200</v>
      </c>
      <c r="D584" s="732">
        <f t="shared" si="235"/>
        <v>2200</v>
      </c>
      <c r="E584" s="732">
        <f t="shared" si="235"/>
        <v>2200</v>
      </c>
      <c r="F584" s="732">
        <f t="shared" ref="F584:F585" si="236">F585</f>
        <v>2200</v>
      </c>
      <c r="G584" s="733">
        <f t="shared" si="233"/>
        <v>100</v>
      </c>
      <c r="H584" s="733">
        <f t="shared" si="234"/>
        <v>100</v>
      </c>
    </row>
    <row r="585" spans="1:8" s="708" customFormat="1" ht="15" x14ac:dyDescent="0.25">
      <c r="A585" s="720" t="s">
        <v>352</v>
      </c>
      <c r="B585" s="721" t="s">
        <v>353</v>
      </c>
      <c r="C585" s="724">
        <f t="shared" si="235"/>
        <v>2200</v>
      </c>
      <c r="D585" s="724">
        <f t="shared" si="235"/>
        <v>2200</v>
      </c>
      <c r="E585" s="724">
        <f t="shared" si="235"/>
        <v>2200</v>
      </c>
      <c r="F585" s="724">
        <f t="shared" si="236"/>
        <v>2200</v>
      </c>
      <c r="G585" s="725">
        <f t="shared" si="233"/>
        <v>100</v>
      </c>
      <c r="H585" s="725">
        <f t="shared" si="234"/>
        <v>100</v>
      </c>
    </row>
    <row r="586" spans="1:8" s="707" customFormat="1" x14ac:dyDescent="0.25">
      <c r="A586" s="738" t="s">
        <v>86</v>
      </c>
      <c r="B586" s="735" t="s">
        <v>87</v>
      </c>
      <c r="C586" s="736">
        <f>C587+C596</f>
        <v>2200</v>
      </c>
      <c r="D586" s="736">
        <f>D587+D596</f>
        <v>2200</v>
      </c>
      <c r="E586" s="736">
        <f>E587+E596</f>
        <v>2200</v>
      </c>
      <c r="F586" s="736">
        <f t="shared" ref="F586" si="237">F587+F596</f>
        <v>2200</v>
      </c>
      <c r="G586" s="737">
        <f t="shared" si="233"/>
        <v>100</v>
      </c>
      <c r="H586" s="737">
        <f t="shared" si="234"/>
        <v>100</v>
      </c>
    </row>
    <row r="587" spans="1:8" x14ac:dyDescent="0.25">
      <c r="A587" s="746">
        <v>31</v>
      </c>
      <c r="B587" s="747" t="s">
        <v>88</v>
      </c>
      <c r="C587" s="748">
        <f>C588+C591+C593</f>
        <v>2200</v>
      </c>
      <c r="D587" s="748">
        <f>D588+D591+D593</f>
        <v>2200</v>
      </c>
      <c r="E587" s="748">
        <f>E588+E591+E593</f>
        <v>2200</v>
      </c>
      <c r="F587" s="748">
        <f t="shared" ref="F587" si="238">F588+F591+F593</f>
        <v>1268.52</v>
      </c>
      <c r="G587" s="749">
        <f t="shared" si="233"/>
        <v>57.66</v>
      </c>
      <c r="H587" s="749">
        <f t="shared" si="234"/>
        <v>57.66</v>
      </c>
    </row>
    <row r="588" spans="1:8" x14ac:dyDescent="0.25">
      <c r="A588" s="39">
        <v>311</v>
      </c>
      <c r="B588" s="40" t="s">
        <v>89</v>
      </c>
      <c r="C588" s="665">
        <f t="shared" ref="C588:E589" si="239">SUM(C589)</f>
        <v>1888.41</v>
      </c>
      <c r="D588" s="665">
        <f t="shared" si="239"/>
        <v>1888.41</v>
      </c>
      <c r="E588" s="665">
        <f t="shared" si="239"/>
        <v>1888.41</v>
      </c>
      <c r="F588" s="665">
        <f t="shared" ref="F588:F589" si="240">SUM(F589)</f>
        <v>1088.8399999999999</v>
      </c>
      <c r="G588" s="666">
        <f t="shared" si="233"/>
        <v>57.659088863117645</v>
      </c>
      <c r="H588" s="666">
        <f t="shared" si="234"/>
        <v>57.659088863117645</v>
      </c>
    </row>
    <row r="589" spans="1:8" x14ac:dyDescent="0.25">
      <c r="A589" s="39">
        <v>3111</v>
      </c>
      <c r="B589" s="40" t="s">
        <v>90</v>
      </c>
      <c r="C589" s="665">
        <f t="shared" si="239"/>
        <v>1888.41</v>
      </c>
      <c r="D589" s="665">
        <f t="shared" si="239"/>
        <v>1888.41</v>
      </c>
      <c r="E589" s="665">
        <f t="shared" si="239"/>
        <v>1888.41</v>
      </c>
      <c r="F589" s="665">
        <f t="shared" si="240"/>
        <v>1088.8399999999999</v>
      </c>
      <c r="G589" s="666">
        <f t="shared" si="233"/>
        <v>57.659088863117645</v>
      </c>
      <c r="H589" s="666">
        <f t="shared" si="234"/>
        <v>57.659088863117645</v>
      </c>
    </row>
    <row r="590" spans="1:8" x14ac:dyDescent="0.25">
      <c r="A590" s="41" t="s">
        <v>465</v>
      </c>
      <c r="B590" s="42" t="s">
        <v>90</v>
      </c>
      <c r="C590" s="673">
        <v>1888.41</v>
      </c>
      <c r="D590" s="673">
        <v>1888.41</v>
      </c>
      <c r="E590" s="673">
        <v>1888.41</v>
      </c>
      <c r="F590" s="673">
        <v>1088.8399999999999</v>
      </c>
      <c r="G590" s="675">
        <f t="shared" si="233"/>
        <v>57.659088863117645</v>
      </c>
      <c r="H590" s="675">
        <f t="shared" si="234"/>
        <v>57.659088863117645</v>
      </c>
    </row>
    <row r="591" spans="1:8" hidden="1" x14ac:dyDescent="0.25">
      <c r="A591" s="39" t="s">
        <v>97</v>
      </c>
      <c r="B591" s="40" t="s">
        <v>98</v>
      </c>
      <c r="C591" s="665">
        <f>C592</f>
        <v>0</v>
      </c>
      <c r="D591" s="665">
        <f>D592</f>
        <v>0</v>
      </c>
      <c r="E591" s="665">
        <f>E592</f>
        <v>0</v>
      </c>
      <c r="F591" s="665">
        <f t="shared" ref="F591" si="241">F592</f>
        <v>0</v>
      </c>
      <c r="G591" s="666">
        <f t="shared" si="233"/>
        <v>0</v>
      </c>
      <c r="H591" s="666">
        <f t="shared" si="234"/>
        <v>0</v>
      </c>
    </row>
    <row r="592" spans="1:8" hidden="1" x14ac:dyDescent="0.25">
      <c r="A592" s="41" t="s">
        <v>99</v>
      </c>
      <c r="B592" s="42" t="s">
        <v>98</v>
      </c>
      <c r="C592" s="673"/>
      <c r="D592" s="673"/>
      <c r="E592" s="673"/>
      <c r="F592" s="673"/>
      <c r="G592" s="675">
        <f t="shared" si="233"/>
        <v>0</v>
      </c>
      <c r="H592" s="675">
        <f t="shared" si="234"/>
        <v>0</v>
      </c>
    </row>
    <row r="593" spans="1:8" x14ac:dyDescent="0.25">
      <c r="A593" s="39" t="s">
        <v>212</v>
      </c>
      <c r="B593" s="40" t="s">
        <v>100</v>
      </c>
      <c r="C593" s="665">
        <f t="shared" ref="C593:E594" si="242">SUM(C594)</f>
        <v>311.58999999999997</v>
      </c>
      <c r="D593" s="665">
        <f t="shared" si="242"/>
        <v>311.58999999999997</v>
      </c>
      <c r="E593" s="665">
        <f t="shared" si="242"/>
        <v>311.58999999999997</v>
      </c>
      <c r="F593" s="665">
        <f t="shared" ref="F593:F594" si="243">SUM(F594)</f>
        <v>179.68</v>
      </c>
      <c r="G593" s="666">
        <f t="shared" si="233"/>
        <v>57.665522000064193</v>
      </c>
      <c r="H593" s="666">
        <f t="shared" si="234"/>
        <v>57.665522000064193</v>
      </c>
    </row>
    <row r="594" spans="1:8" x14ac:dyDescent="0.25">
      <c r="A594" s="39" t="s">
        <v>213</v>
      </c>
      <c r="B594" s="40" t="s">
        <v>101</v>
      </c>
      <c r="C594" s="665">
        <f t="shared" si="242"/>
        <v>311.58999999999997</v>
      </c>
      <c r="D594" s="665">
        <f t="shared" si="242"/>
        <v>311.58999999999997</v>
      </c>
      <c r="E594" s="665">
        <f t="shared" si="242"/>
        <v>311.58999999999997</v>
      </c>
      <c r="F594" s="665">
        <f t="shared" si="243"/>
        <v>179.68</v>
      </c>
      <c r="G594" s="666">
        <f t="shared" si="233"/>
        <v>57.665522000064193</v>
      </c>
      <c r="H594" s="666">
        <f t="shared" si="234"/>
        <v>57.665522000064193</v>
      </c>
    </row>
    <row r="595" spans="1:8" x14ac:dyDescent="0.25">
      <c r="A595" s="41" t="s">
        <v>475</v>
      </c>
      <c r="B595" s="42" t="s">
        <v>101</v>
      </c>
      <c r="C595" s="673">
        <v>311.58999999999997</v>
      </c>
      <c r="D595" s="673">
        <v>311.58999999999997</v>
      </c>
      <c r="E595" s="673">
        <v>311.58999999999997</v>
      </c>
      <c r="F595" s="673">
        <v>179.68</v>
      </c>
      <c r="G595" s="675">
        <f t="shared" si="233"/>
        <v>57.665522000064193</v>
      </c>
      <c r="H595" s="675">
        <f t="shared" si="234"/>
        <v>57.665522000064193</v>
      </c>
    </row>
    <row r="596" spans="1:8" s="663" customFormat="1" x14ac:dyDescent="0.25">
      <c r="A596" s="746" t="s">
        <v>356</v>
      </c>
      <c r="B596" s="751" t="s">
        <v>102</v>
      </c>
      <c r="C596" s="748">
        <f>C597+C601+C605</f>
        <v>0</v>
      </c>
      <c r="D596" s="748">
        <f>D597+D601+D605</f>
        <v>0</v>
      </c>
      <c r="E596" s="748">
        <f>E597+E601+E605</f>
        <v>0</v>
      </c>
      <c r="F596" s="748">
        <f t="shared" ref="F596" si="244">F597+F601+F605</f>
        <v>931.48</v>
      </c>
      <c r="G596" s="749">
        <f t="shared" si="233"/>
        <v>931.48</v>
      </c>
      <c r="H596" s="749">
        <f t="shared" si="234"/>
        <v>931.48</v>
      </c>
    </row>
    <row r="597" spans="1:8" s="663" customFormat="1" x14ac:dyDescent="0.25">
      <c r="A597" s="39" t="s">
        <v>215</v>
      </c>
      <c r="B597" s="40" t="s">
        <v>103</v>
      </c>
      <c r="C597" s="665">
        <f>C598+C600</f>
        <v>0</v>
      </c>
      <c r="D597" s="665">
        <f t="shared" ref="D597:F597" si="245">D598+D600</f>
        <v>0</v>
      </c>
      <c r="E597" s="665">
        <f t="shared" si="245"/>
        <v>0</v>
      </c>
      <c r="F597" s="665">
        <f t="shared" si="245"/>
        <v>180</v>
      </c>
      <c r="G597" s="666">
        <f t="shared" si="233"/>
        <v>180</v>
      </c>
      <c r="H597" s="666">
        <f t="shared" si="234"/>
        <v>180</v>
      </c>
    </row>
    <row r="598" spans="1:8" s="663" customFormat="1" x14ac:dyDescent="0.25">
      <c r="A598" s="39" t="s">
        <v>104</v>
      </c>
      <c r="B598" s="40" t="s">
        <v>105</v>
      </c>
      <c r="C598" s="665">
        <f>C599</f>
        <v>0</v>
      </c>
      <c r="D598" s="665">
        <f t="shared" ref="D598:F598" si="246">D599</f>
        <v>0</v>
      </c>
      <c r="E598" s="665">
        <f t="shared" si="246"/>
        <v>0</v>
      </c>
      <c r="F598" s="665">
        <f t="shared" si="246"/>
        <v>180</v>
      </c>
      <c r="G598" s="666">
        <f t="shared" si="233"/>
        <v>180</v>
      </c>
      <c r="H598" s="666">
        <f t="shared" si="234"/>
        <v>180</v>
      </c>
    </row>
    <row r="599" spans="1:8" x14ac:dyDescent="0.25">
      <c r="A599" s="41" t="s">
        <v>506</v>
      </c>
      <c r="B599" s="42" t="s">
        <v>387</v>
      </c>
      <c r="C599" s="673"/>
      <c r="D599" s="673"/>
      <c r="E599" s="673"/>
      <c r="F599" s="673">
        <v>180</v>
      </c>
      <c r="G599" s="675">
        <f t="shared" si="233"/>
        <v>180</v>
      </c>
      <c r="H599" s="675">
        <f t="shared" si="234"/>
        <v>180</v>
      </c>
    </row>
    <row r="600" spans="1:8" s="663" customFormat="1" hidden="1" x14ac:dyDescent="0.25">
      <c r="A600" s="39" t="s">
        <v>106</v>
      </c>
      <c r="B600" s="40" t="s">
        <v>107</v>
      </c>
      <c r="C600" s="665"/>
      <c r="D600" s="665"/>
      <c r="E600" s="665"/>
      <c r="F600" s="665"/>
      <c r="G600" s="666">
        <f t="shared" si="233"/>
        <v>0</v>
      </c>
      <c r="H600" s="666">
        <f t="shared" si="234"/>
        <v>0</v>
      </c>
    </row>
    <row r="601" spans="1:8" s="663" customFormat="1" x14ac:dyDescent="0.25">
      <c r="A601" s="39" t="s">
        <v>112</v>
      </c>
      <c r="B601" s="40" t="s">
        <v>113</v>
      </c>
      <c r="C601" s="665">
        <f>C602+C604</f>
        <v>0</v>
      </c>
      <c r="D601" s="665">
        <f t="shared" ref="D601:F601" si="247">D602+D604</f>
        <v>0</v>
      </c>
      <c r="E601" s="665">
        <f t="shared" si="247"/>
        <v>0</v>
      </c>
      <c r="F601" s="665">
        <f t="shared" si="247"/>
        <v>34.72</v>
      </c>
      <c r="G601" s="666">
        <f t="shared" si="233"/>
        <v>34.72</v>
      </c>
      <c r="H601" s="666">
        <f t="shared" si="234"/>
        <v>34.72</v>
      </c>
    </row>
    <row r="602" spans="1:8" s="663" customFormat="1" x14ac:dyDescent="0.25">
      <c r="A602" s="39" t="s">
        <v>114</v>
      </c>
      <c r="B602" s="40" t="s">
        <v>115</v>
      </c>
      <c r="C602" s="665">
        <f>C603</f>
        <v>0</v>
      </c>
      <c r="D602" s="665">
        <f t="shared" ref="D602:F602" si="248">D603</f>
        <v>0</v>
      </c>
      <c r="E602" s="665">
        <f t="shared" si="248"/>
        <v>0</v>
      </c>
      <c r="F602" s="665">
        <f t="shared" si="248"/>
        <v>34.72</v>
      </c>
      <c r="G602" s="666">
        <f t="shared" si="233"/>
        <v>34.72</v>
      </c>
      <c r="H602" s="666">
        <f t="shared" si="234"/>
        <v>34.72</v>
      </c>
    </row>
    <row r="603" spans="1:8" x14ac:dyDescent="0.25">
      <c r="A603" s="41" t="s">
        <v>520</v>
      </c>
      <c r="B603" s="42" t="s">
        <v>398</v>
      </c>
      <c r="C603" s="673"/>
      <c r="D603" s="673"/>
      <c r="E603" s="673"/>
      <c r="F603" s="673">
        <v>34.72</v>
      </c>
      <c r="G603" s="675">
        <f t="shared" si="233"/>
        <v>34.72</v>
      </c>
      <c r="H603" s="675">
        <f t="shared" si="234"/>
        <v>34.72</v>
      </c>
    </row>
    <row r="604" spans="1:8" s="663" customFormat="1" hidden="1" x14ac:dyDescent="0.25">
      <c r="A604" s="39" t="s">
        <v>118</v>
      </c>
      <c r="B604" s="40" t="s">
        <v>119</v>
      </c>
      <c r="C604" s="665"/>
      <c r="D604" s="665"/>
      <c r="E604" s="665"/>
      <c r="F604" s="665"/>
      <c r="G604" s="666">
        <f t="shared" si="233"/>
        <v>0</v>
      </c>
      <c r="H604" s="666">
        <f t="shared" si="234"/>
        <v>0</v>
      </c>
    </row>
    <row r="605" spans="1:8" s="663" customFormat="1" x14ac:dyDescent="0.25">
      <c r="A605" s="39" t="s">
        <v>126</v>
      </c>
      <c r="B605" s="40" t="s">
        <v>127</v>
      </c>
      <c r="C605" s="665">
        <f>C606+C607</f>
        <v>0</v>
      </c>
      <c r="D605" s="665">
        <f t="shared" ref="D605:F605" si="249">D606+D607</f>
        <v>0</v>
      </c>
      <c r="E605" s="665">
        <f t="shared" si="249"/>
        <v>0</v>
      </c>
      <c r="F605" s="665">
        <f t="shared" si="249"/>
        <v>716.76</v>
      </c>
      <c r="G605" s="666">
        <f t="shared" si="233"/>
        <v>716.76</v>
      </c>
      <c r="H605" s="666">
        <f t="shared" si="234"/>
        <v>716.76</v>
      </c>
    </row>
    <row r="606" spans="1:8" s="663" customFormat="1" hidden="1" x14ac:dyDescent="0.25">
      <c r="A606" s="39" t="s">
        <v>132</v>
      </c>
      <c r="B606" s="40" t="s">
        <v>133</v>
      </c>
      <c r="C606" s="665"/>
      <c r="D606" s="665"/>
      <c r="E606" s="665"/>
      <c r="F606" s="665"/>
      <c r="G606" s="666">
        <f t="shared" si="233"/>
        <v>0</v>
      </c>
      <c r="H606" s="666">
        <f t="shared" si="234"/>
        <v>0</v>
      </c>
    </row>
    <row r="607" spans="1:8" s="663" customFormat="1" x14ac:dyDescent="0.25">
      <c r="A607" s="39" t="s">
        <v>218</v>
      </c>
      <c r="B607" s="40" t="s">
        <v>138</v>
      </c>
      <c r="C607" s="665">
        <f>C608</f>
        <v>0</v>
      </c>
      <c r="D607" s="665">
        <f t="shared" ref="D607:F607" si="250">D608</f>
        <v>0</v>
      </c>
      <c r="E607" s="665">
        <f t="shared" si="250"/>
        <v>0</v>
      </c>
      <c r="F607" s="665">
        <f t="shared" si="250"/>
        <v>716.76</v>
      </c>
      <c r="G607" s="666">
        <f t="shared" si="233"/>
        <v>716.76</v>
      </c>
      <c r="H607" s="666">
        <f t="shared" si="234"/>
        <v>716.76</v>
      </c>
    </row>
    <row r="608" spans="1:8" x14ac:dyDescent="0.25">
      <c r="A608" s="41" t="s">
        <v>499</v>
      </c>
      <c r="B608" s="42" t="s">
        <v>422</v>
      </c>
      <c r="C608" s="673"/>
      <c r="D608" s="673"/>
      <c r="E608" s="673"/>
      <c r="F608" s="673">
        <v>716.76</v>
      </c>
      <c r="G608" s="675">
        <f t="shared" si="233"/>
        <v>716.76</v>
      </c>
      <c r="H608" s="675">
        <f t="shared" si="234"/>
        <v>716.76</v>
      </c>
    </row>
    <row r="609" spans="1:8" s="676" customFormat="1" ht="58.5" x14ac:dyDescent="0.25">
      <c r="A609" s="730" t="s">
        <v>312</v>
      </c>
      <c r="B609" s="742" t="s">
        <v>626</v>
      </c>
      <c r="C609" s="732">
        <f>C610</f>
        <v>32919.370000000003</v>
      </c>
      <c r="D609" s="732">
        <f>D610</f>
        <v>45699.34</v>
      </c>
      <c r="E609" s="732">
        <f t="shared" ref="E609:F609" si="251">E610</f>
        <v>45699.34</v>
      </c>
      <c r="F609" s="732">
        <f t="shared" si="251"/>
        <v>1504.23</v>
      </c>
      <c r="G609" s="733">
        <f t="shared" si="233"/>
        <v>3.2915792656961789</v>
      </c>
      <c r="H609" s="733">
        <f t="shared" si="234"/>
        <v>3.2915792656961789</v>
      </c>
    </row>
    <row r="610" spans="1:8" s="708" customFormat="1" ht="15" x14ac:dyDescent="0.25">
      <c r="A610" s="720" t="s">
        <v>359</v>
      </c>
      <c r="B610" s="721" t="s">
        <v>41</v>
      </c>
      <c r="C610" s="724">
        <f>C611</f>
        <v>32919.370000000003</v>
      </c>
      <c r="D610" s="724">
        <f>D611</f>
        <v>45699.34</v>
      </c>
      <c r="E610" s="724">
        <f>E611</f>
        <v>45699.34</v>
      </c>
      <c r="F610" s="724">
        <f t="shared" ref="F610" si="252">F611</f>
        <v>1504.23</v>
      </c>
      <c r="G610" s="725">
        <f t="shared" si="233"/>
        <v>3.2915792656961789</v>
      </c>
      <c r="H610" s="725">
        <f t="shared" si="234"/>
        <v>3.2915792656961789</v>
      </c>
    </row>
    <row r="611" spans="1:8" s="707" customFormat="1" x14ac:dyDescent="0.25">
      <c r="A611" s="738" t="s">
        <v>86</v>
      </c>
      <c r="B611" s="735" t="s">
        <v>87</v>
      </c>
      <c r="C611" s="736">
        <f>C612+C623</f>
        <v>32919.370000000003</v>
      </c>
      <c r="D611" s="736">
        <f>D612+D623</f>
        <v>45699.34</v>
      </c>
      <c r="E611" s="736">
        <f>E612+E623</f>
        <v>45699.34</v>
      </c>
      <c r="F611" s="736">
        <f>F612+F623</f>
        <v>1504.23</v>
      </c>
      <c r="G611" s="737">
        <f t="shared" si="233"/>
        <v>3.2915792656961789</v>
      </c>
      <c r="H611" s="737">
        <f t="shared" si="234"/>
        <v>3.2915792656961789</v>
      </c>
    </row>
    <row r="612" spans="1:8" x14ac:dyDescent="0.25">
      <c r="A612" s="746">
        <v>31</v>
      </c>
      <c r="B612" s="747" t="s">
        <v>88</v>
      </c>
      <c r="C612" s="748">
        <f>C613+C616+C620</f>
        <v>32519.7</v>
      </c>
      <c r="D612" s="748">
        <f>D613+D616+D620</f>
        <v>34458.519999999997</v>
      </c>
      <c r="E612" s="748">
        <f>E613+E616+E620</f>
        <v>34458.519999999997</v>
      </c>
      <c r="F612" s="748">
        <f>F613+F616+F620</f>
        <v>1495.94</v>
      </c>
      <c r="G612" s="749">
        <f t="shared" si="233"/>
        <v>4.3412775708300888</v>
      </c>
      <c r="H612" s="749">
        <f t="shared" si="234"/>
        <v>4.3412775708300888</v>
      </c>
    </row>
    <row r="613" spans="1:8" x14ac:dyDescent="0.25">
      <c r="A613" s="39">
        <v>311</v>
      </c>
      <c r="B613" s="40" t="s">
        <v>89</v>
      </c>
      <c r="C613" s="665">
        <f>C614</f>
        <v>31919.7</v>
      </c>
      <c r="D613" s="665">
        <f>D614</f>
        <v>28723.69</v>
      </c>
      <c r="E613" s="665">
        <f>E614</f>
        <v>28723.69</v>
      </c>
      <c r="F613" s="665">
        <f t="shared" ref="F613" si="253">F614</f>
        <v>1195.94</v>
      </c>
      <c r="G613" s="666">
        <f t="shared" si="233"/>
        <v>4.1636015428379851</v>
      </c>
      <c r="H613" s="666">
        <f t="shared" si="234"/>
        <v>4.1636015428379851</v>
      </c>
    </row>
    <row r="614" spans="1:8" x14ac:dyDescent="0.25">
      <c r="A614" s="39" t="s">
        <v>505</v>
      </c>
      <c r="B614" s="40" t="s">
        <v>90</v>
      </c>
      <c r="C614" s="665">
        <f>SUM(C615)</f>
        <v>31919.7</v>
      </c>
      <c r="D614" s="665">
        <f>SUM(D615)</f>
        <v>28723.69</v>
      </c>
      <c r="E614" s="665">
        <f>SUM(E615)</f>
        <v>28723.69</v>
      </c>
      <c r="F614" s="665">
        <f t="shared" ref="F614" si="254">SUM(F615)</f>
        <v>1195.94</v>
      </c>
      <c r="G614" s="666">
        <f t="shared" si="233"/>
        <v>4.1636015428379851</v>
      </c>
      <c r="H614" s="666">
        <f t="shared" si="234"/>
        <v>4.1636015428379851</v>
      </c>
    </row>
    <row r="615" spans="1:8" x14ac:dyDescent="0.25">
      <c r="A615" s="41" t="s">
        <v>465</v>
      </c>
      <c r="B615" s="42" t="s">
        <v>90</v>
      </c>
      <c r="C615" s="673">
        <v>31919.7</v>
      </c>
      <c r="D615" s="673">
        <v>28723.69</v>
      </c>
      <c r="E615" s="673">
        <v>28723.69</v>
      </c>
      <c r="F615" s="673">
        <v>1195.94</v>
      </c>
      <c r="G615" s="675">
        <f t="shared" si="233"/>
        <v>4.1636015428379851</v>
      </c>
      <c r="H615" s="675">
        <f t="shared" si="234"/>
        <v>4.1636015428379851</v>
      </c>
    </row>
    <row r="616" spans="1:8" x14ac:dyDescent="0.25">
      <c r="A616" s="39" t="s">
        <v>97</v>
      </c>
      <c r="B616" s="40" t="s">
        <v>98</v>
      </c>
      <c r="C616" s="665">
        <f>C617</f>
        <v>600</v>
      </c>
      <c r="D616" s="665">
        <f>D617</f>
        <v>995.42</v>
      </c>
      <c r="E616" s="665">
        <f>E617</f>
        <v>995.42</v>
      </c>
      <c r="F616" s="665">
        <f t="shared" ref="F616" si="255">F617</f>
        <v>300</v>
      </c>
      <c r="G616" s="666">
        <f t="shared" si="233"/>
        <v>30.138032187418379</v>
      </c>
      <c r="H616" s="666">
        <f t="shared" si="234"/>
        <v>30.138032187418379</v>
      </c>
    </row>
    <row r="617" spans="1:8" x14ac:dyDescent="0.25">
      <c r="A617" s="39" t="s">
        <v>99</v>
      </c>
      <c r="B617" s="40" t="s">
        <v>98</v>
      </c>
      <c r="C617" s="665">
        <f>SUM(C618:C619)</f>
        <v>600</v>
      </c>
      <c r="D617" s="665">
        <f>SUM(D618:D619)</f>
        <v>995.42</v>
      </c>
      <c r="E617" s="665">
        <f>SUM(E618:E619)</f>
        <v>995.42</v>
      </c>
      <c r="F617" s="665">
        <f>SUM(F618:F619)</f>
        <v>300</v>
      </c>
      <c r="G617" s="666">
        <f t="shared" si="233"/>
        <v>30.138032187418379</v>
      </c>
      <c r="H617" s="666">
        <f t="shared" si="234"/>
        <v>30.138032187418379</v>
      </c>
    </row>
    <row r="618" spans="1:8" x14ac:dyDescent="0.25">
      <c r="A618" s="41" t="s">
        <v>473</v>
      </c>
      <c r="B618" s="42" t="s">
        <v>386</v>
      </c>
      <c r="C618" s="673">
        <v>300</v>
      </c>
      <c r="D618" s="673">
        <v>300</v>
      </c>
      <c r="E618" s="673">
        <v>300</v>
      </c>
      <c r="F618" s="673"/>
      <c r="G618" s="675">
        <f t="shared" si="233"/>
        <v>0</v>
      </c>
      <c r="H618" s="675">
        <f t="shared" si="234"/>
        <v>0</v>
      </c>
    </row>
    <row r="619" spans="1:8" x14ac:dyDescent="0.25">
      <c r="A619" s="41" t="s">
        <v>474</v>
      </c>
      <c r="B619" s="42" t="s">
        <v>381</v>
      </c>
      <c r="C619" s="673">
        <v>300</v>
      </c>
      <c r="D619" s="673">
        <v>695.42</v>
      </c>
      <c r="E619" s="673">
        <v>695.42</v>
      </c>
      <c r="F619" s="673">
        <v>300</v>
      </c>
      <c r="G619" s="675">
        <f t="shared" si="233"/>
        <v>43.13939777400708</v>
      </c>
      <c r="H619" s="675">
        <f t="shared" si="234"/>
        <v>43.13939777400708</v>
      </c>
    </row>
    <row r="620" spans="1:8" x14ac:dyDescent="0.25">
      <c r="A620" s="39" t="s">
        <v>212</v>
      </c>
      <c r="B620" s="40" t="s">
        <v>100</v>
      </c>
      <c r="C620" s="665">
        <f>C621</f>
        <v>0</v>
      </c>
      <c r="D620" s="665">
        <f>D621</f>
        <v>4739.41</v>
      </c>
      <c r="E620" s="665">
        <f>E621</f>
        <v>4739.41</v>
      </c>
      <c r="F620" s="665">
        <f t="shared" ref="F620" si="256">F621</f>
        <v>0</v>
      </c>
      <c r="G620" s="666">
        <f t="shared" si="233"/>
        <v>0</v>
      </c>
      <c r="H620" s="666">
        <f t="shared" si="234"/>
        <v>0</v>
      </c>
    </row>
    <row r="621" spans="1:8" x14ac:dyDescent="0.25">
      <c r="A621" s="39" t="s">
        <v>213</v>
      </c>
      <c r="B621" s="40" t="s">
        <v>101</v>
      </c>
      <c r="C621" s="665">
        <f>SUM(C622)</f>
        <v>0</v>
      </c>
      <c r="D621" s="665">
        <f>SUM(D622)</f>
        <v>4739.41</v>
      </c>
      <c r="E621" s="665">
        <f>SUM(E622)</f>
        <v>4739.41</v>
      </c>
      <c r="F621" s="665">
        <f t="shared" ref="F621" si="257">SUM(F622)</f>
        <v>0</v>
      </c>
      <c r="G621" s="666">
        <f t="shared" si="233"/>
        <v>0</v>
      </c>
      <c r="H621" s="666">
        <f t="shared" si="234"/>
        <v>0</v>
      </c>
    </row>
    <row r="622" spans="1:8" x14ac:dyDescent="0.25">
      <c r="A622" s="41" t="s">
        <v>475</v>
      </c>
      <c r="B622" s="42" t="s">
        <v>101</v>
      </c>
      <c r="C622" s="673">
        <v>0</v>
      </c>
      <c r="D622" s="673">
        <v>4739.41</v>
      </c>
      <c r="E622" s="673">
        <v>4739.41</v>
      </c>
      <c r="F622" s="673">
        <v>0</v>
      </c>
      <c r="G622" s="675">
        <f t="shared" si="233"/>
        <v>0</v>
      </c>
      <c r="H622" s="675">
        <f t="shared" si="234"/>
        <v>0</v>
      </c>
    </row>
    <row r="623" spans="1:8" s="663" customFormat="1" x14ac:dyDescent="0.25">
      <c r="A623" s="746" t="s">
        <v>356</v>
      </c>
      <c r="B623" s="751" t="s">
        <v>102</v>
      </c>
      <c r="C623" s="748">
        <f>C624+C631+C633</f>
        <v>399.67</v>
      </c>
      <c r="D623" s="748">
        <f>D624+D631+D633</f>
        <v>11240.82</v>
      </c>
      <c r="E623" s="748">
        <f>E624+E631+E633</f>
        <v>11240.82</v>
      </c>
      <c r="F623" s="748">
        <f t="shared" ref="F623" si="258">F624+F631+F633</f>
        <v>8.2899999999999991</v>
      </c>
      <c r="G623" s="749">
        <f t="shared" si="233"/>
        <v>7.3749068128481726E-2</v>
      </c>
      <c r="H623" s="749">
        <f t="shared" si="234"/>
        <v>7.3749068128481726E-2</v>
      </c>
    </row>
    <row r="624" spans="1:8" s="663" customFormat="1" x14ac:dyDescent="0.25">
      <c r="A624" s="39" t="s">
        <v>215</v>
      </c>
      <c r="B624" s="40" t="s">
        <v>103</v>
      </c>
      <c r="C624" s="665">
        <f>C625+C627+C629</f>
        <v>399.67</v>
      </c>
      <c r="D624" s="665">
        <f>D625+D627+D629</f>
        <v>10280.64</v>
      </c>
      <c r="E624" s="665">
        <f>E625+E627+E629</f>
        <v>10280.64</v>
      </c>
      <c r="F624" s="665">
        <f t="shared" ref="F624" si="259">F625+F627+F629</f>
        <v>8.2899999999999991</v>
      </c>
      <c r="G624" s="666">
        <f t="shared" si="233"/>
        <v>8.0637003143773145E-2</v>
      </c>
      <c r="H624" s="666">
        <f t="shared" si="234"/>
        <v>8.0637003143773145E-2</v>
      </c>
    </row>
    <row r="625" spans="1:8" s="663" customFormat="1" x14ac:dyDescent="0.25">
      <c r="A625" s="39" t="s">
        <v>104</v>
      </c>
      <c r="B625" s="40" t="s">
        <v>105</v>
      </c>
      <c r="C625" s="665">
        <f>SUM(C626)</f>
        <v>0</v>
      </c>
      <c r="D625" s="665">
        <f>SUM(D626)</f>
        <v>3716.17</v>
      </c>
      <c r="E625" s="665">
        <f>SUM(E626)</f>
        <v>3716.17</v>
      </c>
      <c r="F625" s="665">
        <f t="shared" ref="F625" si="260">SUM(F626)</f>
        <v>0</v>
      </c>
      <c r="G625" s="666">
        <f t="shared" si="233"/>
        <v>0</v>
      </c>
      <c r="H625" s="666">
        <f t="shared" si="234"/>
        <v>0</v>
      </c>
    </row>
    <row r="626" spans="1:8" s="663" customFormat="1" x14ac:dyDescent="0.25">
      <c r="A626" s="41" t="s">
        <v>506</v>
      </c>
      <c r="B626" s="42" t="s">
        <v>387</v>
      </c>
      <c r="C626" s="673">
        <v>0</v>
      </c>
      <c r="D626" s="673">
        <v>3716.17</v>
      </c>
      <c r="E626" s="673">
        <v>3716.17</v>
      </c>
      <c r="F626" s="673">
        <v>0</v>
      </c>
      <c r="G626" s="675">
        <f t="shared" si="233"/>
        <v>0</v>
      </c>
      <c r="H626" s="675">
        <f t="shared" si="234"/>
        <v>0</v>
      </c>
    </row>
    <row r="627" spans="1:8" s="663" customFormat="1" x14ac:dyDescent="0.25">
      <c r="A627" s="39" t="s">
        <v>106</v>
      </c>
      <c r="B627" s="40" t="s">
        <v>107</v>
      </c>
      <c r="C627" s="665">
        <f>SUM(C628)</f>
        <v>399.67</v>
      </c>
      <c r="D627" s="665">
        <f>SUM(D628)</f>
        <v>4905.43</v>
      </c>
      <c r="E627" s="665">
        <f>SUM(E628)</f>
        <v>4905.43</v>
      </c>
      <c r="F627" s="665">
        <f t="shared" ref="F627" si="261">SUM(F628)</f>
        <v>8.2899999999999991</v>
      </c>
      <c r="G627" s="666">
        <f t="shared" si="233"/>
        <v>0.1689963978692999</v>
      </c>
      <c r="H627" s="666">
        <f t="shared" si="234"/>
        <v>0.1689963978692999</v>
      </c>
    </row>
    <row r="628" spans="1:8" s="663" customFormat="1" x14ac:dyDescent="0.25">
      <c r="A628" s="41" t="s">
        <v>476</v>
      </c>
      <c r="B628" s="42" t="s">
        <v>107</v>
      </c>
      <c r="C628" s="673">
        <v>399.67</v>
      </c>
      <c r="D628" s="673">
        <v>4905.43</v>
      </c>
      <c r="E628" s="673">
        <v>4905.43</v>
      </c>
      <c r="F628" s="673">
        <v>8.2899999999999991</v>
      </c>
      <c r="G628" s="675">
        <f t="shared" si="233"/>
        <v>0.1689963978692999</v>
      </c>
      <c r="H628" s="675">
        <f t="shared" si="234"/>
        <v>0.1689963978692999</v>
      </c>
    </row>
    <row r="629" spans="1:8" s="663" customFormat="1" x14ac:dyDescent="0.25">
      <c r="A629" s="39" t="s">
        <v>108</v>
      </c>
      <c r="B629" s="40" t="s">
        <v>109</v>
      </c>
      <c r="C629" s="665">
        <f>SUM(C630)</f>
        <v>0</v>
      </c>
      <c r="D629" s="665">
        <f>SUM(D630)</f>
        <v>1659.04</v>
      </c>
      <c r="E629" s="665">
        <f>SUM(E630)</f>
        <v>1659.04</v>
      </c>
      <c r="F629" s="665">
        <f t="shared" ref="F629" si="262">SUM(F630)</f>
        <v>0</v>
      </c>
      <c r="G629" s="666">
        <f t="shared" si="233"/>
        <v>0</v>
      </c>
      <c r="H629" s="666">
        <f t="shared" si="234"/>
        <v>0</v>
      </c>
    </row>
    <row r="630" spans="1:8" x14ac:dyDescent="0.25">
      <c r="A630" s="41" t="s">
        <v>496</v>
      </c>
      <c r="B630" s="42" t="s">
        <v>392</v>
      </c>
      <c r="C630" s="673">
        <v>0</v>
      </c>
      <c r="D630" s="673">
        <v>1659.04</v>
      </c>
      <c r="E630" s="673">
        <v>1659.04</v>
      </c>
      <c r="F630" s="673">
        <v>0</v>
      </c>
      <c r="G630" s="675">
        <f t="shared" si="233"/>
        <v>0</v>
      </c>
      <c r="H630" s="675">
        <f t="shared" si="234"/>
        <v>0</v>
      </c>
    </row>
    <row r="631" spans="1:8" s="663" customFormat="1" hidden="1" x14ac:dyDescent="0.25">
      <c r="A631" s="39" t="s">
        <v>112</v>
      </c>
      <c r="B631" s="40" t="s">
        <v>113</v>
      </c>
      <c r="C631" s="665">
        <f>C632</f>
        <v>0</v>
      </c>
      <c r="D631" s="665">
        <f>D632</f>
        <v>0</v>
      </c>
      <c r="E631" s="665">
        <f>E632</f>
        <v>0</v>
      </c>
      <c r="F631" s="665">
        <f t="shared" ref="F631" si="263">F632</f>
        <v>0</v>
      </c>
      <c r="G631" s="666">
        <f t="shared" si="233"/>
        <v>0</v>
      </c>
      <c r="H631" s="666">
        <f t="shared" si="234"/>
        <v>0</v>
      </c>
    </row>
    <row r="632" spans="1:8" hidden="1" x14ac:dyDescent="0.25">
      <c r="A632" s="41" t="s">
        <v>118</v>
      </c>
      <c r="B632" s="42" t="s">
        <v>119</v>
      </c>
      <c r="C632" s="673"/>
      <c r="D632" s="673"/>
      <c r="E632" s="673"/>
      <c r="F632" s="673"/>
      <c r="G632" s="675">
        <f t="shared" si="233"/>
        <v>0</v>
      </c>
      <c r="H632" s="675">
        <f t="shared" si="234"/>
        <v>0</v>
      </c>
    </row>
    <row r="633" spans="1:8" s="663" customFormat="1" x14ac:dyDescent="0.25">
      <c r="A633" s="39" t="s">
        <v>126</v>
      </c>
      <c r="B633" s="40" t="s">
        <v>127</v>
      </c>
      <c r="C633" s="665">
        <f>C634+C636</f>
        <v>0</v>
      </c>
      <c r="D633" s="665">
        <f>D634+D636</f>
        <v>960.18000000000006</v>
      </c>
      <c r="E633" s="665">
        <f>E634+E636</f>
        <v>960.18000000000006</v>
      </c>
      <c r="F633" s="665">
        <f t="shared" ref="F633" si="264">F634+F636</f>
        <v>0</v>
      </c>
      <c r="G633" s="666">
        <f t="shared" si="233"/>
        <v>0</v>
      </c>
      <c r="H633" s="666">
        <f t="shared" si="234"/>
        <v>0</v>
      </c>
    </row>
    <row r="634" spans="1:8" s="663" customFormat="1" x14ac:dyDescent="0.25">
      <c r="A634" s="39" t="s">
        <v>218</v>
      </c>
      <c r="B634" s="40" t="s">
        <v>138</v>
      </c>
      <c r="C634" s="665">
        <f>C635</f>
        <v>0</v>
      </c>
      <c r="D634" s="665">
        <f>D635</f>
        <v>518.74</v>
      </c>
      <c r="E634" s="665">
        <f>E635</f>
        <v>518.74</v>
      </c>
      <c r="F634" s="665">
        <f t="shared" ref="F634" si="265">F635</f>
        <v>0</v>
      </c>
      <c r="G634" s="666">
        <f t="shared" si="233"/>
        <v>0</v>
      </c>
      <c r="H634" s="666">
        <f t="shared" si="234"/>
        <v>0</v>
      </c>
    </row>
    <row r="635" spans="1:8" x14ac:dyDescent="0.25">
      <c r="A635" s="41" t="s">
        <v>499</v>
      </c>
      <c r="B635" s="42" t="s">
        <v>422</v>
      </c>
      <c r="C635" s="673">
        <v>0</v>
      </c>
      <c r="D635" s="673">
        <v>518.74</v>
      </c>
      <c r="E635" s="673">
        <v>518.74</v>
      </c>
      <c r="F635" s="673">
        <v>0</v>
      </c>
      <c r="G635" s="675">
        <f t="shared" si="233"/>
        <v>0</v>
      </c>
      <c r="H635" s="675">
        <f t="shared" si="234"/>
        <v>0</v>
      </c>
    </row>
    <row r="636" spans="1:8" x14ac:dyDescent="0.25">
      <c r="A636" s="39" t="s">
        <v>141</v>
      </c>
      <c r="B636" s="40" t="s">
        <v>142</v>
      </c>
      <c r="C636" s="665">
        <f>C637</f>
        <v>0</v>
      </c>
      <c r="D636" s="665">
        <f>D637</f>
        <v>441.44</v>
      </c>
      <c r="E636" s="665">
        <f>E637</f>
        <v>441.44</v>
      </c>
      <c r="F636" s="665">
        <f t="shared" ref="F636" si="266">F637</f>
        <v>0</v>
      </c>
      <c r="G636" s="666">
        <f t="shared" si="233"/>
        <v>0</v>
      </c>
      <c r="H636" s="666">
        <f t="shared" si="234"/>
        <v>0</v>
      </c>
    </row>
    <row r="637" spans="1:8" x14ac:dyDescent="0.25">
      <c r="A637" s="41" t="s">
        <v>500</v>
      </c>
      <c r="B637" s="42" t="s">
        <v>305</v>
      </c>
      <c r="C637" s="673">
        <v>0</v>
      </c>
      <c r="D637" s="673">
        <v>441.44</v>
      </c>
      <c r="E637" s="673">
        <v>441.44</v>
      </c>
      <c r="F637" s="673">
        <v>0</v>
      </c>
      <c r="G637" s="675">
        <f t="shared" si="233"/>
        <v>0</v>
      </c>
      <c r="H637" s="675">
        <f t="shared" si="234"/>
        <v>0</v>
      </c>
    </row>
    <row r="638" spans="1:8" ht="58.5" x14ac:dyDescent="0.25">
      <c r="A638" s="730" t="s">
        <v>312</v>
      </c>
      <c r="B638" s="742" t="s">
        <v>625</v>
      </c>
      <c r="C638" s="732">
        <f>C639</f>
        <v>0</v>
      </c>
      <c r="D638" s="732">
        <f>D639</f>
        <v>0</v>
      </c>
      <c r="E638" s="732">
        <f t="shared" ref="E638:F639" si="267">E639</f>
        <v>102909.87999999999</v>
      </c>
      <c r="F638" s="732">
        <f t="shared" si="267"/>
        <v>36774.439999999995</v>
      </c>
      <c r="G638" s="733">
        <f t="shared" si="233"/>
        <v>36774.439999999995</v>
      </c>
      <c r="H638" s="733">
        <f t="shared" si="234"/>
        <v>35.734605851255488</v>
      </c>
    </row>
    <row r="639" spans="1:8" x14ac:dyDescent="0.25">
      <c r="A639" s="720" t="s">
        <v>359</v>
      </c>
      <c r="B639" s="721" t="s">
        <v>41</v>
      </c>
      <c r="C639" s="724">
        <f>C640</f>
        <v>0</v>
      </c>
      <c r="D639" s="724">
        <f>D640</f>
        <v>0</v>
      </c>
      <c r="E639" s="724">
        <f>E640</f>
        <v>102909.87999999999</v>
      </c>
      <c r="F639" s="724">
        <f t="shared" si="267"/>
        <v>36774.439999999995</v>
      </c>
      <c r="G639" s="725">
        <f t="shared" si="233"/>
        <v>36774.439999999995</v>
      </c>
      <c r="H639" s="725">
        <f t="shared" si="234"/>
        <v>35.734605851255488</v>
      </c>
    </row>
    <row r="640" spans="1:8" x14ac:dyDescent="0.25">
      <c r="A640" s="738" t="s">
        <v>86</v>
      </c>
      <c r="B640" s="735" t="s">
        <v>87</v>
      </c>
      <c r="C640" s="736">
        <f>C641+C652</f>
        <v>0</v>
      </c>
      <c r="D640" s="736">
        <f>D641+D652</f>
        <v>0</v>
      </c>
      <c r="E640" s="736">
        <f>E641+E652</f>
        <v>102909.87999999999</v>
      </c>
      <c r="F640" s="736">
        <f>F641+F652</f>
        <v>36774.439999999995</v>
      </c>
      <c r="G640" s="737">
        <f t="shared" si="233"/>
        <v>36774.439999999995</v>
      </c>
      <c r="H640" s="737">
        <f t="shared" si="234"/>
        <v>35.734605851255488</v>
      </c>
    </row>
    <row r="641" spans="1:8" x14ac:dyDescent="0.25">
      <c r="A641" s="746">
        <v>31</v>
      </c>
      <c r="B641" s="747" t="s">
        <v>88</v>
      </c>
      <c r="C641" s="748">
        <f>C642+C645+C649</f>
        <v>0</v>
      </c>
      <c r="D641" s="748">
        <f>D642+D645+D649</f>
        <v>0</v>
      </c>
      <c r="E641" s="748">
        <f>E642+E645+E649</f>
        <v>83346.37999999999</v>
      </c>
      <c r="F641" s="748">
        <f>F642+F645+F649</f>
        <v>34794.81</v>
      </c>
      <c r="G641" s="749">
        <f t="shared" si="233"/>
        <v>34794.81</v>
      </c>
      <c r="H641" s="749">
        <f t="shared" si="234"/>
        <v>41.747236052723586</v>
      </c>
    </row>
    <row r="642" spans="1:8" x14ac:dyDescent="0.25">
      <c r="A642" s="39">
        <v>311</v>
      </c>
      <c r="B642" s="40" t="s">
        <v>89</v>
      </c>
      <c r="C642" s="665">
        <f>C643</f>
        <v>0</v>
      </c>
      <c r="D642" s="665">
        <f>D643</f>
        <v>0</v>
      </c>
      <c r="E642" s="665">
        <f>E643</f>
        <v>68425.23</v>
      </c>
      <c r="F642" s="665">
        <f t="shared" ref="F642" si="268">F643</f>
        <v>34194.81</v>
      </c>
      <c r="G642" s="666">
        <f t="shared" si="233"/>
        <v>34194.81</v>
      </c>
      <c r="H642" s="666">
        <f t="shared" si="234"/>
        <v>49.973978896380764</v>
      </c>
    </row>
    <row r="643" spans="1:8" x14ac:dyDescent="0.25">
      <c r="A643" s="39" t="s">
        <v>505</v>
      </c>
      <c r="B643" s="40" t="s">
        <v>90</v>
      </c>
      <c r="C643" s="665">
        <f>SUM(C644)</f>
        <v>0</v>
      </c>
      <c r="D643" s="665">
        <f>SUM(D644)</f>
        <v>0</v>
      </c>
      <c r="E643" s="665">
        <f>SUM(E644)</f>
        <v>68425.23</v>
      </c>
      <c r="F643" s="665">
        <f t="shared" ref="F643" si="269">SUM(F644)</f>
        <v>34194.81</v>
      </c>
      <c r="G643" s="666">
        <f t="shared" si="233"/>
        <v>34194.81</v>
      </c>
      <c r="H643" s="666">
        <f t="shared" si="234"/>
        <v>49.973978896380764</v>
      </c>
    </row>
    <row r="644" spans="1:8" x14ac:dyDescent="0.25">
      <c r="A644" s="41" t="s">
        <v>465</v>
      </c>
      <c r="B644" s="42" t="s">
        <v>90</v>
      </c>
      <c r="C644" s="673">
        <v>0</v>
      </c>
      <c r="D644" s="673">
        <v>0</v>
      </c>
      <c r="E644" s="673">
        <v>68425.23</v>
      </c>
      <c r="F644" s="673">
        <v>34194.81</v>
      </c>
      <c r="G644" s="675">
        <f t="shared" si="233"/>
        <v>34194.81</v>
      </c>
      <c r="H644" s="675">
        <f t="shared" si="234"/>
        <v>49.973978896380764</v>
      </c>
    </row>
    <row r="645" spans="1:8" x14ac:dyDescent="0.25">
      <c r="A645" s="39" t="s">
        <v>97</v>
      </c>
      <c r="B645" s="40" t="s">
        <v>98</v>
      </c>
      <c r="C645" s="665">
        <f>C646</f>
        <v>0</v>
      </c>
      <c r="D645" s="665">
        <f>D646</f>
        <v>0</v>
      </c>
      <c r="E645" s="665">
        <f>E646</f>
        <v>1400</v>
      </c>
      <c r="F645" s="665">
        <f t="shared" ref="F645" si="270">F646</f>
        <v>600</v>
      </c>
      <c r="G645" s="666">
        <f t="shared" si="233"/>
        <v>600</v>
      </c>
      <c r="H645" s="666">
        <f t="shared" si="234"/>
        <v>42.857142857142854</v>
      </c>
    </row>
    <row r="646" spans="1:8" x14ac:dyDescent="0.25">
      <c r="A646" s="39" t="s">
        <v>99</v>
      </c>
      <c r="B646" s="40" t="s">
        <v>98</v>
      </c>
      <c r="C646" s="665">
        <f>SUM(C647:C648)</f>
        <v>0</v>
      </c>
      <c r="D646" s="665">
        <f>SUM(D647:D648)</f>
        <v>0</v>
      </c>
      <c r="E646" s="665">
        <f>SUM(E647:E648)</f>
        <v>1400</v>
      </c>
      <c r="F646" s="665">
        <f>SUM(F647:F648)</f>
        <v>600</v>
      </c>
      <c r="G646" s="666">
        <f t="shared" si="233"/>
        <v>600</v>
      </c>
      <c r="H646" s="666">
        <f t="shared" si="234"/>
        <v>42.857142857142854</v>
      </c>
    </row>
    <row r="647" spans="1:8" x14ac:dyDescent="0.25">
      <c r="A647" s="41" t="s">
        <v>473</v>
      </c>
      <c r="B647" s="42" t="s">
        <v>386</v>
      </c>
      <c r="C647" s="673">
        <v>0</v>
      </c>
      <c r="D647" s="673">
        <v>0</v>
      </c>
      <c r="E647" s="673">
        <v>600</v>
      </c>
      <c r="F647" s="673"/>
      <c r="G647" s="675">
        <f t="shared" ref="G647:G710" si="271">IFERROR(F647/D647*100,F647)</f>
        <v>0</v>
      </c>
      <c r="H647" s="675">
        <f t="shared" ref="H647:H710" si="272">IFERROR(F647/E647*100,F647)</f>
        <v>0</v>
      </c>
    </row>
    <row r="648" spans="1:8" x14ac:dyDescent="0.25">
      <c r="A648" s="41" t="s">
        <v>474</v>
      </c>
      <c r="B648" s="42" t="s">
        <v>381</v>
      </c>
      <c r="C648" s="673">
        <v>0</v>
      </c>
      <c r="D648" s="673">
        <v>0</v>
      </c>
      <c r="E648" s="673">
        <v>800</v>
      </c>
      <c r="F648" s="673">
        <v>600</v>
      </c>
      <c r="G648" s="675">
        <f t="shared" si="271"/>
        <v>600</v>
      </c>
      <c r="H648" s="675">
        <f t="shared" si="272"/>
        <v>75</v>
      </c>
    </row>
    <row r="649" spans="1:8" x14ac:dyDescent="0.25">
      <c r="A649" s="39" t="s">
        <v>212</v>
      </c>
      <c r="B649" s="40" t="s">
        <v>100</v>
      </c>
      <c r="C649" s="665">
        <f>C650</f>
        <v>0</v>
      </c>
      <c r="D649" s="665">
        <f>D650</f>
        <v>0</v>
      </c>
      <c r="E649" s="665">
        <f>E650</f>
        <v>13521.15</v>
      </c>
      <c r="F649" s="665">
        <f t="shared" ref="F649" si="273">F650</f>
        <v>0</v>
      </c>
      <c r="G649" s="666">
        <f t="shared" si="271"/>
        <v>0</v>
      </c>
      <c r="H649" s="666">
        <f t="shared" si="272"/>
        <v>0</v>
      </c>
    </row>
    <row r="650" spans="1:8" x14ac:dyDescent="0.25">
      <c r="A650" s="39" t="s">
        <v>213</v>
      </c>
      <c r="B650" s="40" t="s">
        <v>101</v>
      </c>
      <c r="C650" s="665">
        <f>SUM(C651)</f>
        <v>0</v>
      </c>
      <c r="D650" s="665">
        <f>SUM(D651)</f>
        <v>0</v>
      </c>
      <c r="E650" s="665">
        <f>SUM(E651)</f>
        <v>13521.15</v>
      </c>
      <c r="F650" s="665">
        <f t="shared" ref="F650" si="274">SUM(F651)</f>
        <v>0</v>
      </c>
      <c r="G650" s="666">
        <f t="shared" si="271"/>
        <v>0</v>
      </c>
      <c r="H650" s="666">
        <f t="shared" si="272"/>
        <v>0</v>
      </c>
    </row>
    <row r="651" spans="1:8" x14ac:dyDescent="0.25">
      <c r="A651" s="41" t="s">
        <v>475</v>
      </c>
      <c r="B651" s="42" t="s">
        <v>101</v>
      </c>
      <c r="C651" s="673">
        <v>0</v>
      </c>
      <c r="D651" s="673">
        <v>0</v>
      </c>
      <c r="E651" s="673">
        <v>13521.15</v>
      </c>
      <c r="F651" s="673">
        <v>0</v>
      </c>
      <c r="G651" s="675">
        <f t="shared" si="271"/>
        <v>0</v>
      </c>
      <c r="H651" s="675">
        <f t="shared" si="272"/>
        <v>0</v>
      </c>
    </row>
    <row r="652" spans="1:8" x14ac:dyDescent="0.25">
      <c r="A652" s="746" t="s">
        <v>356</v>
      </c>
      <c r="B652" s="751" t="s">
        <v>102</v>
      </c>
      <c r="C652" s="748">
        <f>C653+C662+C664</f>
        <v>0</v>
      </c>
      <c r="D652" s="748">
        <f>D653+D662+D664</f>
        <v>0</v>
      </c>
      <c r="E652" s="748">
        <f>E653+E662+E664</f>
        <v>19563.5</v>
      </c>
      <c r="F652" s="748">
        <f t="shared" ref="F652" si="275">F653+F662+F664</f>
        <v>1979.63</v>
      </c>
      <c r="G652" s="749">
        <f t="shared" si="271"/>
        <v>1979.63</v>
      </c>
      <c r="H652" s="749">
        <f t="shared" si="272"/>
        <v>10.118997111968717</v>
      </c>
    </row>
    <row r="653" spans="1:8" x14ac:dyDescent="0.25">
      <c r="A653" s="39" t="s">
        <v>215</v>
      </c>
      <c r="B653" s="40" t="s">
        <v>103</v>
      </c>
      <c r="C653" s="665">
        <f>C654+C658+C660</f>
        <v>0</v>
      </c>
      <c r="D653" s="665">
        <f>D654+D658+D660</f>
        <v>0</v>
      </c>
      <c r="E653" s="665">
        <f>E654+E658+E660</f>
        <v>17642</v>
      </c>
      <c r="F653" s="665">
        <f t="shared" ref="F653" si="276">F654+F658+F660</f>
        <v>1979.63</v>
      </c>
      <c r="G653" s="666">
        <f t="shared" si="271"/>
        <v>1979.63</v>
      </c>
      <c r="H653" s="666">
        <f t="shared" si="272"/>
        <v>11.2211200544156</v>
      </c>
    </row>
    <row r="654" spans="1:8" x14ac:dyDescent="0.25">
      <c r="A654" s="39" t="s">
        <v>104</v>
      </c>
      <c r="B654" s="40" t="s">
        <v>105</v>
      </c>
      <c r="C654" s="665">
        <f>SUM(C655:C657)</f>
        <v>0</v>
      </c>
      <c r="D654" s="665">
        <f t="shared" ref="D654:F654" si="277">SUM(D655:D657)</f>
        <v>0</v>
      </c>
      <c r="E654" s="665">
        <f t="shared" si="277"/>
        <v>7400</v>
      </c>
      <c r="F654" s="665">
        <f t="shared" si="277"/>
        <v>0</v>
      </c>
      <c r="G654" s="666">
        <f t="shared" si="271"/>
        <v>0</v>
      </c>
      <c r="H654" s="666">
        <f t="shared" si="272"/>
        <v>0</v>
      </c>
    </row>
    <row r="655" spans="1:8" x14ac:dyDescent="0.25">
      <c r="A655" s="41" t="s">
        <v>506</v>
      </c>
      <c r="B655" s="42" t="s">
        <v>387</v>
      </c>
      <c r="C655" s="673">
        <v>0</v>
      </c>
      <c r="D655" s="673">
        <v>0</v>
      </c>
      <c r="E655" s="673">
        <v>900</v>
      </c>
      <c r="F655" s="673">
        <v>0</v>
      </c>
      <c r="G655" s="675">
        <f t="shared" si="271"/>
        <v>0</v>
      </c>
      <c r="H655" s="675">
        <f t="shared" si="272"/>
        <v>0</v>
      </c>
    </row>
    <row r="656" spans="1:8" x14ac:dyDescent="0.25">
      <c r="A656" s="41" t="s">
        <v>514</v>
      </c>
      <c r="B656" s="42" t="s">
        <v>389</v>
      </c>
      <c r="C656" s="673">
        <v>0</v>
      </c>
      <c r="D656" s="673">
        <v>0</v>
      </c>
      <c r="E656" s="673">
        <v>4500</v>
      </c>
      <c r="F656" s="673">
        <v>0</v>
      </c>
      <c r="G656" s="675">
        <f t="shared" si="271"/>
        <v>0</v>
      </c>
      <c r="H656" s="675">
        <f t="shared" si="272"/>
        <v>0</v>
      </c>
    </row>
    <row r="657" spans="1:8" x14ac:dyDescent="0.25">
      <c r="A657" s="41" t="s">
        <v>495</v>
      </c>
      <c r="B657" s="42" t="s">
        <v>390</v>
      </c>
      <c r="C657" s="673">
        <v>0</v>
      </c>
      <c r="D657" s="673">
        <v>0</v>
      </c>
      <c r="E657" s="673">
        <v>2000</v>
      </c>
      <c r="F657" s="673">
        <v>0</v>
      </c>
      <c r="G657" s="675">
        <f t="shared" si="271"/>
        <v>0</v>
      </c>
      <c r="H657" s="675">
        <f t="shared" si="272"/>
        <v>0</v>
      </c>
    </row>
    <row r="658" spans="1:8" x14ac:dyDescent="0.25">
      <c r="A658" s="39" t="s">
        <v>106</v>
      </c>
      <c r="B658" s="40" t="s">
        <v>107</v>
      </c>
      <c r="C658" s="665">
        <f>SUM(C659)</f>
        <v>0</v>
      </c>
      <c r="D658" s="665">
        <f>SUM(D659)</f>
        <v>0</v>
      </c>
      <c r="E658" s="665">
        <f>SUM(E659)</f>
        <v>6000</v>
      </c>
      <c r="F658" s="665">
        <f t="shared" ref="F658" si="278">SUM(F659)</f>
        <v>1979.63</v>
      </c>
      <c r="G658" s="666">
        <f t="shared" si="271"/>
        <v>1979.63</v>
      </c>
      <c r="H658" s="666">
        <f t="shared" si="272"/>
        <v>32.993833333333335</v>
      </c>
    </row>
    <row r="659" spans="1:8" x14ac:dyDescent="0.25">
      <c r="A659" s="41" t="s">
        <v>476</v>
      </c>
      <c r="B659" s="42" t="s">
        <v>107</v>
      </c>
      <c r="C659" s="673">
        <v>0</v>
      </c>
      <c r="D659" s="673">
        <v>0</v>
      </c>
      <c r="E659" s="673">
        <v>6000</v>
      </c>
      <c r="F659" s="673">
        <v>1979.63</v>
      </c>
      <c r="G659" s="675">
        <f t="shared" si="271"/>
        <v>1979.63</v>
      </c>
      <c r="H659" s="675">
        <f t="shared" si="272"/>
        <v>32.993833333333335</v>
      </c>
    </row>
    <row r="660" spans="1:8" x14ac:dyDescent="0.25">
      <c r="A660" s="39" t="s">
        <v>108</v>
      </c>
      <c r="B660" s="40" t="s">
        <v>109</v>
      </c>
      <c r="C660" s="665">
        <f>SUM(C661)</f>
        <v>0</v>
      </c>
      <c r="D660" s="665">
        <f>SUM(D661)</f>
        <v>0</v>
      </c>
      <c r="E660" s="665">
        <f>SUM(E661)</f>
        <v>4242</v>
      </c>
      <c r="F660" s="665">
        <f t="shared" ref="F660" si="279">SUM(F661)</f>
        <v>0</v>
      </c>
      <c r="G660" s="666">
        <f t="shared" si="271"/>
        <v>0</v>
      </c>
      <c r="H660" s="666">
        <f t="shared" si="272"/>
        <v>0</v>
      </c>
    </row>
    <row r="661" spans="1:8" x14ac:dyDescent="0.25">
      <c r="A661" s="41" t="s">
        <v>496</v>
      </c>
      <c r="B661" s="42" t="s">
        <v>392</v>
      </c>
      <c r="C661" s="673">
        <v>0</v>
      </c>
      <c r="D661" s="673">
        <v>0</v>
      </c>
      <c r="E661" s="673">
        <v>4242</v>
      </c>
      <c r="F661" s="673">
        <v>0</v>
      </c>
      <c r="G661" s="675">
        <f t="shared" si="271"/>
        <v>0</v>
      </c>
      <c r="H661" s="675">
        <f t="shared" si="272"/>
        <v>0</v>
      </c>
    </row>
    <row r="662" spans="1:8" hidden="1" x14ac:dyDescent="0.25">
      <c r="A662" s="39" t="s">
        <v>112</v>
      </c>
      <c r="B662" s="40" t="s">
        <v>113</v>
      </c>
      <c r="C662" s="665">
        <f>C663</f>
        <v>0</v>
      </c>
      <c r="D662" s="665">
        <f>D663</f>
        <v>0</v>
      </c>
      <c r="E662" s="665">
        <f>E663</f>
        <v>0</v>
      </c>
      <c r="F662" s="665">
        <f t="shared" ref="F662" si="280">F663</f>
        <v>0</v>
      </c>
      <c r="G662" s="666">
        <f t="shared" si="271"/>
        <v>0</v>
      </c>
      <c r="H662" s="666">
        <f t="shared" si="272"/>
        <v>0</v>
      </c>
    </row>
    <row r="663" spans="1:8" hidden="1" x14ac:dyDescent="0.25">
      <c r="A663" s="41" t="s">
        <v>118</v>
      </c>
      <c r="B663" s="42" t="s">
        <v>119</v>
      </c>
      <c r="C663" s="673"/>
      <c r="D663" s="673"/>
      <c r="E663" s="673"/>
      <c r="F663" s="673"/>
      <c r="G663" s="675">
        <f t="shared" si="271"/>
        <v>0</v>
      </c>
      <c r="H663" s="675">
        <f t="shared" si="272"/>
        <v>0</v>
      </c>
    </row>
    <row r="664" spans="1:8" x14ac:dyDescent="0.25">
      <c r="A664" s="39" t="s">
        <v>126</v>
      </c>
      <c r="B664" s="40" t="s">
        <v>127</v>
      </c>
      <c r="C664" s="665">
        <f>C665+C667</f>
        <v>0</v>
      </c>
      <c r="D664" s="665">
        <f>D665+D667</f>
        <v>0</v>
      </c>
      <c r="E664" s="665">
        <f>E665+E667</f>
        <v>1921.5</v>
      </c>
      <c r="F664" s="665">
        <f t="shared" ref="F664" si="281">F665+F667</f>
        <v>0</v>
      </c>
      <c r="G664" s="666">
        <f t="shared" si="271"/>
        <v>0</v>
      </c>
      <c r="H664" s="666">
        <f t="shared" si="272"/>
        <v>0</v>
      </c>
    </row>
    <row r="665" spans="1:8" x14ac:dyDescent="0.25">
      <c r="A665" s="39" t="s">
        <v>218</v>
      </c>
      <c r="B665" s="40" t="s">
        <v>138</v>
      </c>
      <c r="C665" s="665">
        <f>C666</f>
        <v>0</v>
      </c>
      <c r="D665" s="665">
        <f>D666</f>
        <v>0</v>
      </c>
      <c r="E665" s="665">
        <f>E666</f>
        <v>1921.5</v>
      </c>
      <c r="F665" s="665">
        <f t="shared" ref="F665" si="282">F666</f>
        <v>0</v>
      </c>
      <c r="G665" s="666">
        <f t="shared" si="271"/>
        <v>0</v>
      </c>
      <c r="H665" s="666">
        <f t="shared" si="272"/>
        <v>0</v>
      </c>
    </row>
    <row r="666" spans="1:8" x14ac:dyDescent="0.25">
      <c r="A666" s="41" t="s">
        <v>499</v>
      </c>
      <c r="B666" s="42" t="s">
        <v>422</v>
      </c>
      <c r="C666" s="673">
        <v>0</v>
      </c>
      <c r="D666" s="673">
        <v>0</v>
      </c>
      <c r="E666" s="673">
        <v>1921.5</v>
      </c>
      <c r="F666" s="673">
        <v>0</v>
      </c>
      <c r="G666" s="675">
        <f t="shared" si="271"/>
        <v>0</v>
      </c>
      <c r="H666" s="675">
        <f t="shared" si="272"/>
        <v>0</v>
      </c>
    </row>
    <row r="667" spans="1:8" hidden="1" x14ac:dyDescent="0.25">
      <c r="A667" s="39" t="s">
        <v>141</v>
      </c>
      <c r="B667" s="40" t="s">
        <v>142</v>
      </c>
      <c r="C667" s="665">
        <f>C668</f>
        <v>0</v>
      </c>
      <c r="D667" s="665">
        <f>D668</f>
        <v>0</v>
      </c>
      <c r="E667" s="665">
        <f>E668</f>
        <v>0</v>
      </c>
      <c r="F667" s="665">
        <f t="shared" ref="F667" si="283">F668</f>
        <v>0</v>
      </c>
      <c r="G667" s="666">
        <f t="shared" si="271"/>
        <v>0</v>
      </c>
      <c r="H667" s="666">
        <f t="shared" si="272"/>
        <v>0</v>
      </c>
    </row>
    <row r="668" spans="1:8" hidden="1" x14ac:dyDescent="0.25">
      <c r="A668" s="41" t="s">
        <v>500</v>
      </c>
      <c r="B668" s="42" t="s">
        <v>305</v>
      </c>
      <c r="C668" s="673">
        <v>0</v>
      </c>
      <c r="D668" s="673">
        <v>0</v>
      </c>
      <c r="E668" s="673">
        <v>0</v>
      </c>
      <c r="F668" s="673">
        <v>0</v>
      </c>
      <c r="G668" s="675">
        <f t="shared" si="271"/>
        <v>0</v>
      </c>
      <c r="H668" s="675">
        <f t="shared" si="272"/>
        <v>0</v>
      </c>
    </row>
    <row r="669" spans="1:8" ht="39" hidden="1" x14ac:dyDescent="0.25">
      <c r="A669" s="730" t="s">
        <v>312</v>
      </c>
      <c r="B669" s="742" t="s">
        <v>360</v>
      </c>
      <c r="C669" s="743">
        <f>C670+C687</f>
        <v>0</v>
      </c>
      <c r="D669" s="743">
        <f>D670+D687</f>
        <v>0</v>
      </c>
      <c r="E669" s="743">
        <f>E670+E687</f>
        <v>0</v>
      </c>
      <c r="F669" s="743">
        <f>F670+F687</f>
        <v>0</v>
      </c>
      <c r="G669" s="744">
        <f t="shared" si="271"/>
        <v>0</v>
      </c>
      <c r="H669" s="744">
        <f t="shared" si="272"/>
        <v>0</v>
      </c>
    </row>
    <row r="670" spans="1:8" hidden="1" x14ac:dyDescent="0.25">
      <c r="A670" s="720">
        <v>52</v>
      </c>
      <c r="B670" s="721" t="s">
        <v>224</v>
      </c>
      <c r="C670" s="724">
        <f>C671</f>
        <v>0</v>
      </c>
      <c r="D670" s="724">
        <f>D671</f>
        <v>0</v>
      </c>
      <c r="E670" s="724">
        <f>E671</f>
        <v>0</v>
      </c>
      <c r="F670" s="724">
        <f t="shared" ref="F670" si="284">F671</f>
        <v>0</v>
      </c>
      <c r="G670" s="725">
        <f t="shared" si="271"/>
        <v>0</v>
      </c>
      <c r="H670" s="725">
        <f t="shared" si="272"/>
        <v>0</v>
      </c>
    </row>
    <row r="671" spans="1:8" hidden="1" x14ac:dyDescent="0.25">
      <c r="A671" s="745" t="s">
        <v>86</v>
      </c>
      <c r="B671" s="759" t="s">
        <v>87</v>
      </c>
      <c r="C671" s="736">
        <f>C672+C684</f>
        <v>0</v>
      </c>
      <c r="D671" s="736">
        <f>D672+D684</f>
        <v>0</v>
      </c>
      <c r="E671" s="736">
        <f>E672+E684</f>
        <v>0</v>
      </c>
      <c r="F671" s="736">
        <f>F672+F684</f>
        <v>0</v>
      </c>
      <c r="G671" s="737">
        <f t="shared" si="271"/>
        <v>0</v>
      </c>
      <c r="H671" s="737">
        <f t="shared" si="272"/>
        <v>0</v>
      </c>
    </row>
    <row r="672" spans="1:8" hidden="1" x14ac:dyDescent="0.25">
      <c r="A672" s="746">
        <v>31</v>
      </c>
      <c r="B672" s="747" t="s">
        <v>88</v>
      </c>
      <c r="C672" s="748">
        <f>C673+C678+C680</f>
        <v>0</v>
      </c>
      <c r="D672" s="748">
        <f>D673+D678+D680</f>
        <v>0</v>
      </c>
      <c r="E672" s="748">
        <f>E673+E678+E680</f>
        <v>0</v>
      </c>
      <c r="F672" s="748">
        <f>F673+F678+F680</f>
        <v>0</v>
      </c>
      <c r="G672" s="749">
        <f t="shared" si="271"/>
        <v>0</v>
      </c>
      <c r="H672" s="749">
        <f t="shared" si="272"/>
        <v>0</v>
      </c>
    </row>
    <row r="673" spans="1:8" hidden="1" x14ac:dyDescent="0.25">
      <c r="A673" s="39">
        <v>311</v>
      </c>
      <c r="B673" s="40" t="s">
        <v>89</v>
      </c>
      <c r="C673" s="665">
        <f>C674+C675+C676</f>
        <v>0</v>
      </c>
      <c r="D673" s="665">
        <f>D674+D675+D676</f>
        <v>0</v>
      </c>
      <c r="E673" s="665">
        <f>E674+E675+E676</f>
        <v>0</v>
      </c>
      <c r="F673" s="665">
        <f>F674+F675+F676</f>
        <v>0</v>
      </c>
      <c r="G673" s="666">
        <f t="shared" si="271"/>
        <v>0</v>
      </c>
      <c r="H673" s="666">
        <f t="shared" si="272"/>
        <v>0</v>
      </c>
    </row>
    <row r="674" spans="1:8" s="663" customFormat="1" hidden="1" x14ac:dyDescent="0.25">
      <c r="A674" s="39">
        <v>3111</v>
      </c>
      <c r="B674" s="40" t="s">
        <v>90</v>
      </c>
      <c r="C674" s="665"/>
      <c r="D674" s="665"/>
      <c r="E674" s="665"/>
      <c r="F674" s="665"/>
      <c r="G674" s="666">
        <f t="shared" si="271"/>
        <v>0</v>
      </c>
      <c r="H674" s="666">
        <f t="shared" si="272"/>
        <v>0</v>
      </c>
    </row>
    <row r="675" spans="1:8" s="663" customFormat="1" hidden="1" x14ac:dyDescent="0.25">
      <c r="A675" s="39" t="s">
        <v>93</v>
      </c>
      <c r="B675" s="40" t="s">
        <v>94</v>
      </c>
      <c r="C675" s="665"/>
      <c r="D675" s="665"/>
      <c r="E675" s="665"/>
      <c r="F675" s="665"/>
      <c r="G675" s="666">
        <f t="shared" si="271"/>
        <v>0</v>
      </c>
      <c r="H675" s="666">
        <f t="shared" si="272"/>
        <v>0</v>
      </c>
    </row>
    <row r="676" spans="1:8" s="663" customFormat="1" hidden="1" x14ac:dyDescent="0.25">
      <c r="A676" s="39" t="s">
        <v>95</v>
      </c>
      <c r="B676" s="40" t="s">
        <v>211</v>
      </c>
      <c r="C676" s="665">
        <f>SUM(C677)</f>
        <v>0</v>
      </c>
      <c r="D676" s="665">
        <f>SUM(D677)</f>
        <v>0</v>
      </c>
      <c r="E676" s="665">
        <f>SUM(E677)</f>
        <v>0</v>
      </c>
      <c r="F676" s="665">
        <f t="shared" ref="F676" si="285">SUM(F677)</f>
        <v>0</v>
      </c>
      <c r="G676" s="666">
        <f t="shared" si="271"/>
        <v>0</v>
      </c>
      <c r="H676" s="666">
        <f t="shared" si="272"/>
        <v>0</v>
      </c>
    </row>
    <row r="677" spans="1:8" hidden="1" x14ac:dyDescent="0.25">
      <c r="A677" s="41" t="s">
        <v>468</v>
      </c>
      <c r="B677" s="42" t="s">
        <v>211</v>
      </c>
      <c r="C677" s="673">
        <v>0</v>
      </c>
      <c r="D677" s="673">
        <v>0</v>
      </c>
      <c r="E677" s="673"/>
      <c r="F677" s="673">
        <v>0</v>
      </c>
      <c r="G677" s="675">
        <f t="shared" si="271"/>
        <v>0</v>
      </c>
      <c r="H677" s="675">
        <f t="shared" si="272"/>
        <v>0</v>
      </c>
    </row>
    <row r="678" spans="1:8" hidden="1" x14ac:dyDescent="0.25">
      <c r="A678" s="39" t="s">
        <v>97</v>
      </c>
      <c r="B678" s="40" t="s">
        <v>98</v>
      </c>
      <c r="C678" s="665">
        <f>C679</f>
        <v>0</v>
      </c>
      <c r="D678" s="665">
        <f>D679</f>
        <v>0</v>
      </c>
      <c r="E678" s="665">
        <f>E679</f>
        <v>0</v>
      </c>
      <c r="F678" s="665">
        <f t="shared" ref="F678" si="286">F679</f>
        <v>0</v>
      </c>
      <c r="G678" s="666">
        <f t="shared" si="271"/>
        <v>0</v>
      </c>
      <c r="H678" s="666">
        <f t="shared" si="272"/>
        <v>0</v>
      </c>
    </row>
    <row r="679" spans="1:8" hidden="1" x14ac:dyDescent="0.25">
      <c r="A679" s="41" t="s">
        <v>99</v>
      </c>
      <c r="B679" s="42" t="s">
        <v>98</v>
      </c>
      <c r="C679" s="673"/>
      <c r="D679" s="673"/>
      <c r="E679" s="673"/>
      <c r="F679" s="673"/>
      <c r="G679" s="675">
        <f t="shared" si="271"/>
        <v>0</v>
      </c>
      <c r="H679" s="675">
        <f t="shared" si="272"/>
        <v>0</v>
      </c>
    </row>
    <row r="680" spans="1:8" hidden="1" x14ac:dyDescent="0.25">
      <c r="A680" s="39">
        <v>313</v>
      </c>
      <c r="B680" s="40" t="s">
        <v>100</v>
      </c>
      <c r="C680" s="665">
        <f>C681+C682</f>
        <v>0</v>
      </c>
      <c r="D680" s="665">
        <f>D681+D682</f>
        <v>0</v>
      </c>
      <c r="E680" s="665">
        <f>E681+E682</f>
        <v>0</v>
      </c>
      <c r="F680" s="665">
        <f t="shared" ref="F680" si="287">F681+F682</f>
        <v>0</v>
      </c>
      <c r="G680" s="666">
        <f t="shared" si="271"/>
        <v>0</v>
      </c>
      <c r="H680" s="666">
        <f t="shared" si="272"/>
        <v>0</v>
      </c>
    </row>
    <row r="681" spans="1:8" hidden="1" x14ac:dyDescent="0.25">
      <c r="A681" s="39" t="s">
        <v>225</v>
      </c>
      <c r="B681" s="40" t="s">
        <v>226</v>
      </c>
      <c r="C681" s="665"/>
      <c r="D681" s="665"/>
      <c r="E681" s="665"/>
      <c r="F681" s="665"/>
      <c r="G681" s="666">
        <f t="shared" si="271"/>
        <v>0</v>
      </c>
      <c r="H681" s="666">
        <f t="shared" si="272"/>
        <v>0</v>
      </c>
    </row>
    <row r="682" spans="1:8" hidden="1" x14ac:dyDescent="0.25">
      <c r="A682" s="39">
        <v>3132</v>
      </c>
      <c r="B682" s="40" t="s">
        <v>101</v>
      </c>
      <c r="C682" s="665">
        <f>SUM(C683)</f>
        <v>0</v>
      </c>
      <c r="D682" s="665">
        <f>SUM(D683)</f>
        <v>0</v>
      </c>
      <c r="E682" s="665">
        <f>SUM(E683)</f>
        <v>0</v>
      </c>
      <c r="F682" s="665">
        <f t="shared" ref="F682" si="288">SUM(F683)</f>
        <v>0</v>
      </c>
      <c r="G682" s="666">
        <f t="shared" si="271"/>
        <v>0</v>
      </c>
      <c r="H682" s="666">
        <f t="shared" si="272"/>
        <v>0</v>
      </c>
    </row>
    <row r="683" spans="1:8" hidden="1" x14ac:dyDescent="0.25">
      <c r="A683" s="41" t="s">
        <v>475</v>
      </c>
      <c r="B683" s="42" t="s">
        <v>101</v>
      </c>
      <c r="C683" s="673">
        <v>0</v>
      </c>
      <c r="D683" s="673">
        <v>0</v>
      </c>
      <c r="E683" s="673"/>
      <c r="F683" s="673">
        <v>0</v>
      </c>
      <c r="G683" s="675">
        <f t="shared" si="271"/>
        <v>0</v>
      </c>
      <c r="H683" s="675">
        <f t="shared" si="272"/>
        <v>0</v>
      </c>
    </row>
    <row r="684" spans="1:8" s="663" customFormat="1" hidden="1" x14ac:dyDescent="0.25">
      <c r="A684" s="746" t="s">
        <v>356</v>
      </c>
      <c r="B684" s="751" t="s">
        <v>102</v>
      </c>
      <c r="C684" s="748">
        <f t="shared" ref="C684:F685" si="289">C685</f>
        <v>0</v>
      </c>
      <c r="D684" s="748">
        <f t="shared" si="289"/>
        <v>0</v>
      </c>
      <c r="E684" s="748">
        <f t="shared" si="289"/>
        <v>0</v>
      </c>
      <c r="F684" s="748">
        <f t="shared" si="289"/>
        <v>0</v>
      </c>
      <c r="G684" s="749">
        <f t="shared" si="271"/>
        <v>0</v>
      </c>
      <c r="H684" s="749">
        <f t="shared" si="272"/>
        <v>0</v>
      </c>
    </row>
    <row r="685" spans="1:8" s="663" customFormat="1" hidden="1" x14ac:dyDescent="0.25">
      <c r="A685" s="39" t="s">
        <v>112</v>
      </c>
      <c r="B685" s="40" t="s">
        <v>113</v>
      </c>
      <c r="C685" s="665">
        <f t="shared" si="289"/>
        <v>0</v>
      </c>
      <c r="D685" s="665">
        <f t="shared" si="289"/>
        <v>0</v>
      </c>
      <c r="E685" s="665">
        <f t="shared" si="289"/>
        <v>0</v>
      </c>
      <c r="F685" s="665">
        <f t="shared" si="289"/>
        <v>0</v>
      </c>
      <c r="G685" s="666">
        <f t="shared" si="271"/>
        <v>0</v>
      </c>
      <c r="H685" s="666">
        <f t="shared" si="272"/>
        <v>0</v>
      </c>
    </row>
    <row r="686" spans="1:8" hidden="1" x14ac:dyDescent="0.25">
      <c r="A686" s="41" t="s">
        <v>116</v>
      </c>
      <c r="B686" s="42" t="s">
        <v>117</v>
      </c>
      <c r="C686" s="673">
        <v>0</v>
      </c>
      <c r="D686" s="673">
        <v>0</v>
      </c>
      <c r="E686" s="673">
        <v>0</v>
      </c>
      <c r="F686" s="673">
        <v>0</v>
      </c>
      <c r="G686" s="675">
        <f t="shared" si="271"/>
        <v>0</v>
      </c>
      <c r="H686" s="675">
        <f t="shared" si="272"/>
        <v>0</v>
      </c>
    </row>
    <row r="687" spans="1:8" hidden="1" x14ac:dyDescent="0.25">
      <c r="A687" s="720" t="s">
        <v>65</v>
      </c>
      <c r="B687" s="721" t="s">
        <v>210</v>
      </c>
      <c r="C687" s="724">
        <f>C688+C709</f>
        <v>0</v>
      </c>
      <c r="D687" s="724">
        <f>D688+D709</f>
        <v>0</v>
      </c>
      <c r="E687" s="724">
        <f>E688+E709</f>
        <v>0</v>
      </c>
      <c r="F687" s="724">
        <f t="shared" ref="F687" si="290">F688+F709</f>
        <v>0</v>
      </c>
      <c r="G687" s="725">
        <f t="shared" si="271"/>
        <v>0</v>
      </c>
      <c r="H687" s="725">
        <f t="shared" si="272"/>
        <v>0</v>
      </c>
    </row>
    <row r="688" spans="1:8" hidden="1" x14ac:dyDescent="0.25">
      <c r="A688" s="745" t="s">
        <v>86</v>
      </c>
      <c r="B688" s="759" t="s">
        <v>87</v>
      </c>
      <c r="C688" s="760">
        <f>C689</f>
        <v>0</v>
      </c>
      <c r="D688" s="760">
        <f>D689</f>
        <v>0</v>
      </c>
      <c r="E688" s="760">
        <f>E689</f>
        <v>0</v>
      </c>
      <c r="F688" s="760">
        <f t="shared" ref="F688" si="291">F689</f>
        <v>0</v>
      </c>
      <c r="G688" s="761">
        <f t="shared" si="271"/>
        <v>0</v>
      </c>
      <c r="H688" s="761">
        <f t="shared" si="272"/>
        <v>0</v>
      </c>
    </row>
    <row r="689" spans="1:8" hidden="1" x14ac:dyDescent="0.25">
      <c r="A689" s="746">
        <v>32</v>
      </c>
      <c r="B689" s="747" t="s">
        <v>102</v>
      </c>
      <c r="C689" s="748">
        <f>C690+C699+C706</f>
        <v>0</v>
      </c>
      <c r="D689" s="748">
        <f>D690+D699+D706</f>
        <v>0</v>
      </c>
      <c r="E689" s="748">
        <f>E690+E699+E706</f>
        <v>0</v>
      </c>
      <c r="F689" s="748">
        <f t="shared" ref="F689" si="292">F690+F699+F706</f>
        <v>0</v>
      </c>
      <c r="G689" s="749">
        <f t="shared" si="271"/>
        <v>0</v>
      </c>
      <c r="H689" s="749">
        <f t="shared" si="272"/>
        <v>0</v>
      </c>
    </row>
    <row r="690" spans="1:8" hidden="1" x14ac:dyDescent="0.25">
      <c r="A690" s="39" t="s">
        <v>112</v>
      </c>
      <c r="B690" s="40" t="s">
        <v>113</v>
      </c>
      <c r="C690" s="665">
        <f>C691+C693+C695+C697</f>
        <v>0</v>
      </c>
      <c r="D690" s="665">
        <f>D691+D693+D695+D697</f>
        <v>0</v>
      </c>
      <c r="E690" s="665">
        <f>E691+E693+E695+E697</f>
        <v>0</v>
      </c>
      <c r="F690" s="665">
        <f t="shared" ref="F690" si="293">F691+F693+F695+F697</f>
        <v>0</v>
      </c>
      <c r="G690" s="666">
        <f t="shared" si="271"/>
        <v>0</v>
      </c>
      <c r="H690" s="666">
        <f t="shared" si="272"/>
        <v>0</v>
      </c>
    </row>
    <row r="691" spans="1:8" hidden="1" x14ac:dyDescent="0.25">
      <c r="A691" s="39" t="s">
        <v>114</v>
      </c>
      <c r="B691" s="709" t="s">
        <v>115</v>
      </c>
      <c r="C691" s="665">
        <f>SUM(C692)</f>
        <v>0</v>
      </c>
      <c r="D691" s="665">
        <f>SUM(D692)</f>
        <v>0</v>
      </c>
      <c r="E691" s="665">
        <f>SUM(E692)</f>
        <v>0</v>
      </c>
      <c r="F691" s="665">
        <f t="shared" ref="F691" si="294">SUM(F692)</f>
        <v>0</v>
      </c>
      <c r="G691" s="666">
        <f t="shared" si="271"/>
        <v>0</v>
      </c>
      <c r="H691" s="666">
        <f t="shared" si="272"/>
        <v>0</v>
      </c>
    </row>
    <row r="692" spans="1:8" hidden="1" x14ac:dyDescent="0.25">
      <c r="A692" s="41" t="s">
        <v>497</v>
      </c>
      <c r="B692" s="710" t="s">
        <v>394</v>
      </c>
      <c r="C692" s="673">
        <v>0</v>
      </c>
      <c r="D692" s="673">
        <v>0</v>
      </c>
      <c r="E692" s="673"/>
      <c r="F692" s="673">
        <v>0</v>
      </c>
      <c r="G692" s="675">
        <f t="shared" si="271"/>
        <v>0</v>
      </c>
      <c r="H692" s="675">
        <f t="shared" si="272"/>
        <v>0</v>
      </c>
    </row>
    <row r="693" spans="1:8" hidden="1" x14ac:dyDescent="0.25">
      <c r="A693" s="39" t="s">
        <v>116</v>
      </c>
      <c r="B693" s="709" t="s">
        <v>117</v>
      </c>
      <c r="C693" s="665">
        <f>SUM(C694)</f>
        <v>0</v>
      </c>
      <c r="D693" s="665">
        <f>SUM(D694)</f>
        <v>0</v>
      </c>
      <c r="E693" s="665">
        <f>SUM(E694)</f>
        <v>0</v>
      </c>
      <c r="F693" s="665">
        <f t="shared" ref="F693" si="295">SUM(F694)</f>
        <v>0</v>
      </c>
      <c r="G693" s="666">
        <f t="shared" si="271"/>
        <v>0</v>
      </c>
      <c r="H693" s="666">
        <f t="shared" si="272"/>
        <v>0</v>
      </c>
    </row>
    <row r="694" spans="1:8" hidden="1" x14ac:dyDescent="0.25">
      <c r="A694" s="41" t="s">
        <v>535</v>
      </c>
      <c r="B694" s="710" t="s">
        <v>400</v>
      </c>
      <c r="C694" s="673">
        <v>0</v>
      </c>
      <c r="D694" s="673">
        <v>0</v>
      </c>
      <c r="E694" s="673"/>
      <c r="F694" s="673">
        <v>0</v>
      </c>
      <c r="G694" s="675">
        <f t="shared" si="271"/>
        <v>0</v>
      </c>
      <c r="H694" s="675">
        <f t="shared" si="272"/>
        <v>0</v>
      </c>
    </row>
    <row r="695" spans="1:8" hidden="1" x14ac:dyDescent="0.25">
      <c r="A695" s="39" t="s">
        <v>120</v>
      </c>
      <c r="B695" s="709" t="s">
        <v>321</v>
      </c>
      <c r="C695" s="665">
        <f>SUM(C696)</f>
        <v>0</v>
      </c>
      <c r="D695" s="665">
        <f>SUM(D696)</f>
        <v>0</v>
      </c>
      <c r="E695" s="665">
        <f>SUM(E696)</f>
        <v>0</v>
      </c>
      <c r="F695" s="665">
        <f t="shared" ref="F695" si="296">SUM(F696)</f>
        <v>0</v>
      </c>
      <c r="G695" s="666">
        <f t="shared" si="271"/>
        <v>0</v>
      </c>
      <c r="H695" s="666">
        <f t="shared" si="272"/>
        <v>0</v>
      </c>
    </row>
    <row r="696" spans="1:8" hidden="1" x14ac:dyDescent="0.25">
      <c r="A696" s="41" t="s">
        <v>522</v>
      </c>
      <c r="B696" s="710" t="s">
        <v>531</v>
      </c>
      <c r="C696" s="673">
        <v>0</v>
      </c>
      <c r="D696" s="673">
        <v>0</v>
      </c>
      <c r="E696" s="673"/>
      <c r="F696" s="673">
        <v>0</v>
      </c>
      <c r="G696" s="675">
        <f t="shared" si="271"/>
        <v>0</v>
      </c>
      <c r="H696" s="675">
        <f t="shared" si="272"/>
        <v>0</v>
      </c>
    </row>
    <row r="697" spans="1:8" hidden="1" x14ac:dyDescent="0.25">
      <c r="A697" s="39" t="s">
        <v>122</v>
      </c>
      <c r="B697" s="709" t="s">
        <v>123</v>
      </c>
      <c r="C697" s="665">
        <f>SUM(C698)</f>
        <v>0</v>
      </c>
      <c r="D697" s="665">
        <f>SUM(D698)</f>
        <v>0</v>
      </c>
      <c r="E697" s="665">
        <f>SUM(E698)</f>
        <v>0</v>
      </c>
      <c r="F697" s="665">
        <f t="shared" ref="F697" si="297">SUM(F698)</f>
        <v>0</v>
      </c>
      <c r="G697" s="666">
        <f t="shared" si="271"/>
        <v>0</v>
      </c>
      <c r="H697" s="666">
        <f t="shared" si="272"/>
        <v>0</v>
      </c>
    </row>
    <row r="698" spans="1:8" hidden="1" x14ac:dyDescent="0.25">
      <c r="A698" s="41" t="s">
        <v>485</v>
      </c>
      <c r="B698" s="710" t="s">
        <v>123</v>
      </c>
      <c r="C698" s="673">
        <v>0</v>
      </c>
      <c r="D698" s="673">
        <v>0</v>
      </c>
      <c r="E698" s="673"/>
      <c r="F698" s="673">
        <v>0</v>
      </c>
      <c r="G698" s="675">
        <f t="shared" si="271"/>
        <v>0</v>
      </c>
      <c r="H698" s="675">
        <f t="shared" si="272"/>
        <v>0</v>
      </c>
    </row>
    <row r="699" spans="1:8" hidden="1" x14ac:dyDescent="0.25">
      <c r="A699" s="39" t="s">
        <v>126</v>
      </c>
      <c r="B699" s="43" t="s">
        <v>127</v>
      </c>
      <c r="C699" s="665">
        <f>C701+C704</f>
        <v>0</v>
      </c>
      <c r="D699" s="665">
        <f>D701+D704</f>
        <v>0</v>
      </c>
      <c r="E699" s="665">
        <f>E701+E704</f>
        <v>0</v>
      </c>
      <c r="F699" s="665">
        <f t="shared" ref="F699" si="298">F701+F704</f>
        <v>0</v>
      </c>
      <c r="G699" s="666">
        <f t="shared" si="271"/>
        <v>0</v>
      </c>
      <c r="H699" s="666">
        <f t="shared" si="272"/>
        <v>0</v>
      </c>
    </row>
    <row r="700" spans="1:8" hidden="1" x14ac:dyDescent="0.25">
      <c r="A700" s="41" t="s">
        <v>128</v>
      </c>
      <c r="B700" s="44" t="s">
        <v>129</v>
      </c>
      <c r="C700" s="673"/>
      <c r="D700" s="673"/>
      <c r="E700" s="673"/>
      <c r="F700" s="673"/>
      <c r="G700" s="675">
        <f t="shared" si="271"/>
        <v>0</v>
      </c>
      <c r="H700" s="675">
        <f t="shared" si="272"/>
        <v>0</v>
      </c>
    </row>
    <row r="701" spans="1:8" hidden="1" x14ac:dyDescent="0.25">
      <c r="A701" s="39" t="s">
        <v>130</v>
      </c>
      <c r="B701" s="43" t="s">
        <v>131</v>
      </c>
      <c r="C701" s="665">
        <f>SUM(C702)</f>
        <v>0</v>
      </c>
      <c r="D701" s="665">
        <f>SUM(D702)</f>
        <v>0</v>
      </c>
      <c r="E701" s="665">
        <f>SUM(E702)</f>
        <v>0</v>
      </c>
      <c r="F701" s="665">
        <f t="shared" ref="F701" si="299">SUM(F702)</f>
        <v>0</v>
      </c>
      <c r="G701" s="666">
        <f t="shared" si="271"/>
        <v>0</v>
      </c>
      <c r="H701" s="666">
        <f t="shared" si="272"/>
        <v>0</v>
      </c>
    </row>
    <row r="702" spans="1:8" hidden="1" x14ac:dyDescent="0.25">
      <c r="A702" s="41" t="s">
        <v>510</v>
      </c>
      <c r="B702" s="44" t="s">
        <v>413</v>
      </c>
      <c r="C702" s="673"/>
      <c r="D702" s="673"/>
      <c r="E702" s="673"/>
      <c r="F702" s="673">
        <v>0</v>
      </c>
      <c r="G702" s="675">
        <f t="shared" si="271"/>
        <v>0</v>
      </c>
      <c r="H702" s="675">
        <f t="shared" si="272"/>
        <v>0</v>
      </c>
    </row>
    <row r="703" spans="1:8" hidden="1" x14ac:dyDescent="0.25">
      <c r="A703" s="41" t="s">
        <v>134</v>
      </c>
      <c r="B703" s="44" t="s">
        <v>135</v>
      </c>
      <c r="C703" s="673"/>
      <c r="D703" s="673"/>
      <c r="E703" s="673"/>
      <c r="F703" s="673"/>
      <c r="G703" s="675">
        <f t="shared" si="271"/>
        <v>0</v>
      </c>
      <c r="H703" s="675">
        <f t="shared" si="272"/>
        <v>0</v>
      </c>
    </row>
    <row r="704" spans="1:8" hidden="1" x14ac:dyDescent="0.25">
      <c r="A704" s="39" t="s">
        <v>141</v>
      </c>
      <c r="B704" s="43" t="s">
        <v>142</v>
      </c>
      <c r="C704" s="665">
        <f>SUM(C705)</f>
        <v>0</v>
      </c>
      <c r="D704" s="665">
        <f>SUM(D705)</f>
        <v>0</v>
      </c>
      <c r="E704" s="665">
        <f>SUM(E705)</f>
        <v>0</v>
      </c>
      <c r="F704" s="665">
        <f t="shared" ref="F704" si="300">SUM(F705)</f>
        <v>0</v>
      </c>
      <c r="G704" s="666">
        <f t="shared" si="271"/>
        <v>0</v>
      </c>
      <c r="H704" s="666">
        <f t="shared" si="272"/>
        <v>0</v>
      </c>
    </row>
    <row r="705" spans="1:8" hidden="1" x14ac:dyDescent="0.25">
      <c r="A705" s="41" t="s">
        <v>500</v>
      </c>
      <c r="B705" s="44" t="s">
        <v>305</v>
      </c>
      <c r="C705" s="673"/>
      <c r="D705" s="673"/>
      <c r="E705" s="673"/>
      <c r="F705" s="673">
        <v>0</v>
      </c>
      <c r="G705" s="675">
        <f t="shared" si="271"/>
        <v>0</v>
      </c>
      <c r="H705" s="675">
        <f t="shared" si="272"/>
        <v>0</v>
      </c>
    </row>
    <row r="706" spans="1:8" s="663" customFormat="1" hidden="1" x14ac:dyDescent="0.25">
      <c r="A706" s="39" t="s">
        <v>219</v>
      </c>
      <c r="B706" s="43" t="s">
        <v>144</v>
      </c>
      <c r="C706" s="665">
        <f>C707</f>
        <v>0</v>
      </c>
      <c r="D706" s="665">
        <f>D707</f>
        <v>0</v>
      </c>
      <c r="E706" s="665">
        <f>E707</f>
        <v>0</v>
      </c>
      <c r="F706" s="665">
        <f t="shared" ref="F706" si="301">F707</f>
        <v>0</v>
      </c>
      <c r="G706" s="666">
        <f t="shared" si="271"/>
        <v>0</v>
      </c>
      <c r="H706" s="666">
        <f t="shared" si="272"/>
        <v>0</v>
      </c>
    </row>
    <row r="707" spans="1:8" s="663" customFormat="1" hidden="1" x14ac:dyDescent="0.25">
      <c r="A707" s="39" t="s">
        <v>221</v>
      </c>
      <c r="B707" s="43" t="s">
        <v>148</v>
      </c>
      <c r="C707" s="665">
        <f>SUM(C708)</f>
        <v>0</v>
      </c>
      <c r="D707" s="665">
        <f>SUM(D708)</f>
        <v>0</v>
      </c>
      <c r="E707" s="665">
        <f>SUM(E708)</f>
        <v>0</v>
      </c>
      <c r="F707" s="665">
        <f t="shared" ref="F707" si="302">SUM(F708)</f>
        <v>0</v>
      </c>
      <c r="G707" s="666">
        <f t="shared" si="271"/>
        <v>0</v>
      </c>
      <c r="H707" s="666">
        <f t="shared" si="272"/>
        <v>0</v>
      </c>
    </row>
    <row r="708" spans="1:8" hidden="1" x14ac:dyDescent="0.25">
      <c r="A708" s="41" t="s">
        <v>532</v>
      </c>
      <c r="B708" s="44" t="s">
        <v>148</v>
      </c>
      <c r="C708" s="673"/>
      <c r="D708" s="673"/>
      <c r="E708" s="673"/>
      <c r="F708" s="673">
        <v>0</v>
      </c>
      <c r="G708" s="675">
        <f t="shared" si="271"/>
        <v>0</v>
      </c>
      <c r="H708" s="675">
        <f t="shared" si="272"/>
        <v>0</v>
      </c>
    </row>
    <row r="709" spans="1:8" hidden="1" x14ac:dyDescent="0.25">
      <c r="A709" s="734">
        <v>4</v>
      </c>
      <c r="B709" s="735" t="s">
        <v>174</v>
      </c>
      <c r="C709" s="736">
        <f t="shared" ref="C709:E710" si="303">C710</f>
        <v>0</v>
      </c>
      <c r="D709" s="736">
        <f t="shared" si="303"/>
        <v>0</v>
      </c>
      <c r="E709" s="736">
        <f t="shared" si="303"/>
        <v>0</v>
      </c>
      <c r="F709" s="736">
        <f t="shared" ref="F709:F710" si="304">F710</f>
        <v>0</v>
      </c>
      <c r="G709" s="737">
        <f t="shared" si="271"/>
        <v>0</v>
      </c>
      <c r="H709" s="737">
        <f t="shared" si="272"/>
        <v>0</v>
      </c>
    </row>
    <row r="710" spans="1:8" hidden="1" x14ac:dyDescent="0.25">
      <c r="A710" s="746" t="s">
        <v>344</v>
      </c>
      <c r="B710" s="752" t="s">
        <v>197</v>
      </c>
      <c r="C710" s="748">
        <f t="shared" si="303"/>
        <v>0</v>
      </c>
      <c r="D710" s="748">
        <f t="shared" si="303"/>
        <v>0</v>
      </c>
      <c r="E710" s="748">
        <f t="shared" si="303"/>
        <v>0</v>
      </c>
      <c r="F710" s="748">
        <f t="shared" si="304"/>
        <v>0</v>
      </c>
      <c r="G710" s="749">
        <f t="shared" si="271"/>
        <v>0</v>
      </c>
      <c r="H710" s="749">
        <f t="shared" si="272"/>
        <v>0</v>
      </c>
    </row>
    <row r="711" spans="1:8" hidden="1" x14ac:dyDescent="0.25">
      <c r="A711" s="39" t="s">
        <v>223</v>
      </c>
      <c r="B711" s="40" t="s">
        <v>199</v>
      </c>
      <c r="C711" s="665">
        <f>C712+C714+C716</f>
        <v>0</v>
      </c>
      <c r="D711" s="665">
        <f>D712+D714+D716</f>
        <v>0</v>
      </c>
      <c r="E711" s="665">
        <f>E712+E714+E716</f>
        <v>0</v>
      </c>
      <c r="F711" s="665">
        <f t="shared" ref="F711" si="305">F712+F714+F716</f>
        <v>0</v>
      </c>
      <c r="G711" s="666">
        <f t="shared" ref="G711:G774" si="306">IFERROR(F711/D711*100,F711)</f>
        <v>0</v>
      </c>
      <c r="H711" s="666">
        <f t="shared" ref="H711:H774" si="307">IFERROR(F711/E711*100,F711)</f>
        <v>0</v>
      </c>
    </row>
    <row r="712" spans="1:8" hidden="1" x14ac:dyDescent="0.25">
      <c r="A712" s="39" t="s">
        <v>185</v>
      </c>
      <c r="B712" s="40" t="s">
        <v>186</v>
      </c>
      <c r="C712" s="665">
        <f>SUM(C713)</f>
        <v>0</v>
      </c>
      <c r="D712" s="665">
        <f>SUM(D713)</f>
        <v>0</v>
      </c>
      <c r="E712" s="665">
        <f>SUM(E713)</f>
        <v>0</v>
      </c>
      <c r="F712" s="665">
        <f t="shared" ref="F712" si="308">SUM(F713)</f>
        <v>0</v>
      </c>
      <c r="G712" s="666">
        <f t="shared" si="306"/>
        <v>0</v>
      </c>
      <c r="H712" s="666">
        <f t="shared" si="307"/>
        <v>0</v>
      </c>
    </row>
    <row r="713" spans="1:8" hidden="1" x14ac:dyDescent="0.25">
      <c r="A713" s="41" t="s">
        <v>507</v>
      </c>
      <c r="B713" s="42" t="s">
        <v>445</v>
      </c>
      <c r="C713" s="673"/>
      <c r="D713" s="673"/>
      <c r="E713" s="673"/>
      <c r="F713" s="673">
        <v>0</v>
      </c>
      <c r="G713" s="675">
        <f t="shared" si="306"/>
        <v>0</v>
      </c>
      <c r="H713" s="675">
        <f t="shared" si="307"/>
        <v>0</v>
      </c>
    </row>
    <row r="714" spans="1:8" hidden="1" x14ac:dyDescent="0.25">
      <c r="A714" s="39" t="s">
        <v>228</v>
      </c>
      <c r="B714" s="40" t="s">
        <v>189</v>
      </c>
      <c r="C714" s="665">
        <f>SUM(C715)</f>
        <v>0</v>
      </c>
      <c r="D714" s="665">
        <f>SUM(D715)</f>
        <v>0</v>
      </c>
      <c r="E714" s="665">
        <f>SUM(E715)</f>
        <v>0</v>
      </c>
      <c r="F714" s="665">
        <f t="shared" ref="F714" si="309">SUM(F715)</f>
        <v>0</v>
      </c>
      <c r="G714" s="666">
        <f t="shared" si="306"/>
        <v>0</v>
      </c>
      <c r="H714" s="666">
        <f t="shared" si="307"/>
        <v>0</v>
      </c>
    </row>
    <row r="715" spans="1:8" hidden="1" x14ac:dyDescent="0.25">
      <c r="A715" s="41" t="s">
        <v>508</v>
      </c>
      <c r="B715" s="42" t="s">
        <v>448</v>
      </c>
      <c r="C715" s="673"/>
      <c r="D715" s="673"/>
      <c r="E715" s="673"/>
      <c r="F715" s="673">
        <v>0</v>
      </c>
      <c r="G715" s="675">
        <f t="shared" si="306"/>
        <v>0</v>
      </c>
      <c r="H715" s="675">
        <f t="shared" si="307"/>
        <v>0</v>
      </c>
    </row>
    <row r="716" spans="1:8" hidden="1" x14ac:dyDescent="0.25">
      <c r="A716" s="39" t="s">
        <v>345</v>
      </c>
      <c r="B716" s="40" t="s">
        <v>192</v>
      </c>
      <c r="C716" s="665">
        <f>SUM(C717)</f>
        <v>0</v>
      </c>
      <c r="D716" s="665">
        <f>SUM(D717)</f>
        <v>0</v>
      </c>
      <c r="E716" s="665">
        <f>SUM(E717)</f>
        <v>0</v>
      </c>
      <c r="F716" s="665">
        <f t="shared" ref="F716" si="310">SUM(F717)</f>
        <v>0</v>
      </c>
      <c r="G716" s="666">
        <f t="shared" si="306"/>
        <v>0</v>
      </c>
      <c r="H716" s="666">
        <f t="shared" si="307"/>
        <v>0</v>
      </c>
    </row>
    <row r="717" spans="1:8" hidden="1" x14ac:dyDescent="0.25">
      <c r="A717" s="41" t="s">
        <v>509</v>
      </c>
      <c r="B717" s="42" t="s">
        <v>192</v>
      </c>
      <c r="C717" s="673"/>
      <c r="D717" s="673"/>
      <c r="E717" s="673"/>
      <c r="F717" s="673">
        <v>0</v>
      </c>
      <c r="G717" s="675">
        <f t="shared" si="306"/>
        <v>0</v>
      </c>
      <c r="H717" s="675">
        <f t="shared" si="307"/>
        <v>0</v>
      </c>
    </row>
    <row r="718" spans="1:8" ht="58.5" x14ac:dyDescent="0.25">
      <c r="A718" s="730" t="s">
        <v>312</v>
      </c>
      <c r="B718" s="742" t="s">
        <v>591</v>
      </c>
      <c r="C718" s="732">
        <f>C719</f>
        <v>0</v>
      </c>
      <c r="D718" s="732">
        <f>D719</f>
        <v>14000</v>
      </c>
      <c r="E718" s="732">
        <f t="shared" ref="E718:F718" si="311">E719</f>
        <v>14000</v>
      </c>
      <c r="F718" s="732">
        <f t="shared" si="311"/>
        <v>14000</v>
      </c>
      <c r="G718" s="733">
        <f t="shared" si="306"/>
        <v>100</v>
      </c>
      <c r="H718" s="733">
        <f t="shared" si="307"/>
        <v>100</v>
      </c>
    </row>
    <row r="719" spans="1:8" s="700" customFormat="1" ht="15" x14ac:dyDescent="0.25">
      <c r="A719" s="720">
        <v>52</v>
      </c>
      <c r="B719" s="721" t="s">
        <v>224</v>
      </c>
      <c r="C719" s="722">
        <f>C720</f>
        <v>0</v>
      </c>
      <c r="D719" s="722">
        <f>D720</f>
        <v>14000</v>
      </c>
      <c r="E719" s="722">
        <f>E720</f>
        <v>14000</v>
      </c>
      <c r="F719" s="722">
        <f>F720</f>
        <v>14000</v>
      </c>
      <c r="G719" s="723">
        <f t="shared" si="306"/>
        <v>100</v>
      </c>
      <c r="H719" s="723">
        <f t="shared" si="307"/>
        <v>100</v>
      </c>
    </row>
    <row r="720" spans="1:8" x14ac:dyDescent="0.25">
      <c r="A720" s="738" t="s">
        <v>86</v>
      </c>
      <c r="B720" s="735" t="s">
        <v>87</v>
      </c>
      <c r="C720" s="736">
        <f>C721+C728</f>
        <v>0</v>
      </c>
      <c r="D720" s="736">
        <f>D721+D728</f>
        <v>14000</v>
      </c>
      <c r="E720" s="736">
        <f>E721+E728</f>
        <v>14000</v>
      </c>
      <c r="F720" s="736">
        <f>F721+F728</f>
        <v>14000</v>
      </c>
      <c r="G720" s="737">
        <f t="shared" si="306"/>
        <v>100</v>
      </c>
      <c r="H720" s="737">
        <f t="shared" si="307"/>
        <v>100</v>
      </c>
    </row>
    <row r="721" spans="1:8" x14ac:dyDescent="0.25">
      <c r="A721" s="746">
        <v>31</v>
      </c>
      <c r="B721" s="747" t="s">
        <v>88</v>
      </c>
      <c r="C721" s="748">
        <f>C722+C726</f>
        <v>0</v>
      </c>
      <c r="D721" s="748">
        <f>D722+D726</f>
        <v>9000</v>
      </c>
      <c r="E721" s="748">
        <f>E722+E726</f>
        <v>5200</v>
      </c>
      <c r="F721" s="748">
        <f>F722+F726</f>
        <v>5231.3999999999996</v>
      </c>
      <c r="G721" s="749">
        <f t="shared" si="306"/>
        <v>58.126666666666658</v>
      </c>
      <c r="H721" s="749">
        <f t="shared" si="307"/>
        <v>100.60384615384615</v>
      </c>
    </row>
    <row r="722" spans="1:8" s="663" customFormat="1" x14ac:dyDescent="0.25">
      <c r="A722" s="39">
        <v>311</v>
      </c>
      <c r="B722" s="40" t="s">
        <v>89</v>
      </c>
      <c r="C722" s="665">
        <f>C723+C725</f>
        <v>0</v>
      </c>
      <c r="D722" s="665">
        <f>D723+D725</f>
        <v>9000</v>
      </c>
      <c r="E722" s="665">
        <f>E723+E725</f>
        <v>5200</v>
      </c>
      <c r="F722" s="665">
        <f>F723+F725</f>
        <v>5231.3999999999996</v>
      </c>
      <c r="G722" s="666">
        <f t="shared" si="306"/>
        <v>58.126666666666658</v>
      </c>
      <c r="H722" s="666">
        <f t="shared" si="307"/>
        <v>100.60384615384615</v>
      </c>
    </row>
    <row r="723" spans="1:8" x14ac:dyDescent="0.25">
      <c r="A723" s="39">
        <v>3111</v>
      </c>
      <c r="B723" s="40" t="s">
        <v>90</v>
      </c>
      <c r="C723" s="665">
        <f>C724</f>
        <v>0</v>
      </c>
      <c r="D723" s="665">
        <f>D724</f>
        <v>9000</v>
      </c>
      <c r="E723" s="665">
        <f>E724</f>
        <v>5200</v>
      </c>
      <c r="F723" s="665">
        <f>F724</f>
        <v>5231.3999999999996</v>
      </c>
      <c r="G723" s="666">
        <f t="shared" si="306"/>
        <v>58.126666666666658</v>
      </c>
      <c r="H723" s="666">
        <f t="shared" si="307"/>
        <v>100.60384615384615</v>
      </c>
    </row>
    <row r="724" spans="1:8" x14ac:dyDescent="0.25">
      <c r="A724" s="41" t="s">
        <v>465</v>
      </c>
      <c r="B724" s="42" t="s">
        <v>90</v>
      </c>
      <c r="C724" s="673">
        <v>0</v>
      </c>
      <c r="D724" s="673">
        <v>9000</v>
      </c>
      <c r="E724" s="673">
        <v>5200</v>
      </c>
      <c r="F724" s="673">
        <v>5231.3999999999996</v>
      </c>
      <c r="G724" s="675">
        <f t="shared" si="306"/>
        <v>58.126666666666658</v>
      </c>
      <c r="H724" s="675">
        <f t="shared" si="307"/>
        <v>100.60384615384615</v>
      </c>
    </row>
    <row r="725" spans="1:8" hidden="1" x14ac:dyDescent="0.25">
      <c r="A725" s="41" t="s">
        <v>93</v>
      </c>
      <c r="B725" s="42" t="s">
        <v>94</v>
      </c>
      <c r="C725" s="673"/>
      <c r="D725" s="673"/>
      <c r="E725" s="673"/>
      <c r="F725" s="673"/>
      <c r="G725" s="675">
        <f t="shared" si="306"/>
        <v>0</v>
      </c>
      <c r="H725" s="675">
        <f t="shared" si="307"/>
        <v>0</v>
      </c>
    </row>
    <row r="726" spans="1:8" s="663" customFormat="1" hidden="1" x14ac:dyDescent="0.25">
      <c r="A726" s="39">
        <v>313</v>
      </c>
      <c r="B726" s="40" t="s">
        <v>100</v>
      </c>
      <c r="C726" s="665">
        <f>C727</f>
        <v>0</v>
      </c>
      <c r="D726" s="665">
        <f>D727</f>
        <v>0</v>
      </c>
      <c r="E726" s="665">
        <f>E727</f>
        <v>0</v>
      </c>
      <c r="F726" s="665">
        <f t="shared" ref="F726" si="312">F727</f>
        <v>0</v>
      </c>
      <c r="G726" s="666">
        <f t="shared" si="306"/>
        <v>0</v>
      </c>
      <c r="H726" s="666">
        <f t="shared" si="307"/>
        <v>0</v>
      </c>
    </row>
    <row r="727" spans="1:8" hidden="1" x14ac:dyDescent="0.25">
      <c r="A727" s="41">
        <v>3132</v>
      </c>
      <c r="B727" s="42" t="s">
        <v>101</v>
      </c>
      <c r="C727" s="673"/>
      <c r="D727" s="673"/>
      <c r="E727" s="673"/>
      <c r="F727" s="673"/>
      <c r="G727" s="675">
        <f t="shared" si="306"/>
        <v>0</v>
      </c>
      <c r="H727" s="675">
        <f t="shared" si="307"/>
        <v>0</v>
      </c>
    </row>
    <row r="728" spans="1:8" s="663" customFormat="1" x14ac:dyDescent="0.25">
      <c r="A728" s="746">
        <v>32</v>
      </c>
      <c r="B728" s="747" t="s">
        <v>102</v>
      </c>
      <c r="C728" s="748">
        <f>C729+C738+C747</f>
        <v>0</v>
      </c>
      <c r="D728" s="748">
        <f>D729+D738+D747</f>
        <v>5000</v>
      </c>
      <c r="E728" s="748">
        <f>E729+E738+E747+E758</f>
        <v>8800</v>
      </c>
      <c r="F728" s="748">
        <f>F729+F738+F747+F758</f>
        <v>8768.6</v>
      </c>
      <c r="G728" s="749">
        <f t="shared" si="306"/>
        <v>175.37200000000001</v>
      </c>
      <c r="H728" s="749">
        <f t="shared" si="307"/>
        <v>99.64318181818183</v>
      </c>
    </row>
    <row r="729" spans="1:8" s="663" customFormat="1" x14ac:dyDescent="0.25">
      <c r="A729" s="39">
        <v>321</v>
      </c>
      <c r="B729" s="40" t="s">
        <v>103</v>
      </c>
      <c r="C729" s="665">
        <f>C730+C734</f>
        <v>0</v>
      </c>
      <c r="D729" s="665">
        <f>D730+D734</f>
        <v>1000</v>
      </c>
      <c r="E729" s="665">
        <f>E730+E734+E736</f>
        <v>3000</v>
      </c>
      <c r="F729" s="665">
        <f>F730+F734+F736</f>
        <v>3112.22</v>
      </c>
      <c r="G729" s="666">
        <f t="shared" si="306"/>
        <v>311.22199999999998</v>
      </c>
      <c r="H729" s="666">
        <f t="shared" si="307"/>
        <v>103.74066666666666</v>
      </c>
    </row>
    <row r="730" spans="1:8" s="663" customFormat="1" x14ac:dyDescent="0.25">
      <c r="A730" s="39" t="s">
        <v>104</v>
      </c>
      <c r="B730" s="40" t="s">
        <v>105</v>
      </c>
      <c r="C730" s="665">
        <f>C731+C732+C733</f>
        <v>0</v>
      </c>
      <c r="D730" s="665">
        <f>D731+D732+D733</f>
        <v>1000</v>
      </c>
      <c r="E730" s="665">
        <f>E731+E732+E733</f>
        <v>1600</v>
      </c>
      <c r="F730" s="665">
        <f>F731+F732+F733</f>
        <v>3000.22</v>
      </c>
      <c r="G730" s="666">
        <f t="shared" si="306"/>
        <v>300.02199999999999</v>
      </c>
      <c r="H730" s="666">
        <f t="shared" si="307"/>
        <v>187.51374999999999</v>
      </c>
    </row>
    <row r="731" spans="1:8" s="663" customFormat="1" x14ac:dyDescent="0.25">
      <c r="A731" s="41" t="s">
        <v>506</v>
      </c>
      <c r="B731" s="42" t="s">
        <v>387</v>
      </c>
      <c r="C731" s="673">
        <v>0</v>
      </c>
      <c r="D731" s="673">
        <v>1000</v>
      </c>
      <c r="E731" s="673">
        <v>600</v>
      </c>
      <c r="F731" s="673">
        <v>2029.32</v>
      </c>
      <c r="G731" s="675">
        <f t="shared" si="306"/>
        <v>202.93199999999999</v>
      </c>
      <c r="H731" s="675">
        <f t="shared" si="307"/>
        <v>338.22</v>
      </c>
    </row>
    <row r="732" spans="1:8" s="663" customFormat="1" x14ac:dyDescent="0.25">
      <c r="A732" s="41">
        <v>32113</v>
      </c>
      <c r="B732" s="42" t="s">
        <v>389</v>
      </c>
      <c r="C732" s="673"/>
      <c r="D732" s="673"/>
      <c r="E732" s="673">
        <v>600</v>
      </c>
      <c r="F732" s="673">
        <v>600</v>
      </c>
      <c r="G732" s="675">
        <f t="shared" si="306"/>
        <v>600</v>
      </c>
      <c r="H732" s="675">
        <f t="shared" si="307"/>
        <v>100</v>
      </c>
    </row>
    <row r="733" spans="1:8" s="663" customFormat="1" x14ac:dyDescent="0.25">
      <c r="A733" s="41">
        <v>32115</v>
      </c>
      <c r="B733" s="42" t="s">
        <v>390</v>
      </c>
      <c r="C733" s="673"/>
      <c r="D733" s="673"/>
      <c r="E733" s="673">
        <v>400</v>
      </c>
      <c r="F733" s="673">
        <v>370.9</v>
      </c>
      <c r="G733" s="675">
        <f t="shared" si="306"/>
        <v>370.9</v>
      </c>
      <c r="H733" s="675">
        <f t="shared" si="307"/>
        <v>92.724999999999994</v>
      </c>
    </row>
    <row r="734" spans="1:8" x14ac:dyDescent="0.25">
      <c r="A734" s="39" t="s">
        <v>106</v>
      </c>
      <c r="B734" s="40" t="s">
        <v>107</v>
      </c>
      <c r="C734" s="665">
        <f>C735</f>
        <v>0</v>
      </c>
      <c r="D734" s="665">
        <f>D735</f>
        <v>0</v>
      </c>
      <c r="E734" s="665">
        <f>E735</f>
        <v>400</v>
      </c>
      <c r="F734" s="665">
        <f>F735</f>
        <v>112</v>
      </c>
      <c r="G734" s="666">
        <f t="shared" si="306"/>
        <v>112</v>
      </c>
      <c r="H734" s="666">
        <f t="shared" si="307"/>
        <v>28.000000000000004</v>
      </c>
    </row>
    <row r="735" spans="1:8" x14ac:dyDescent="0.25">
      <c r="A735" s="41" t="s">
        <v>476</v>
      </c>
      <c r="B735" s="42" t="s">
        <v>107</v>
      </c>
      <c r="C735" s="673"/>
      <c r="D735" s="673"/>
      <c r="E735" s="673">
        <v>400</v>
      </c>
      <c r="F735" s="673">
        <v>112</v>
      </c>
      <c r="G735" s="675">
        <f t="shared" si="306"/>
        <v>112</v>
      </c>
      <c r="H735" s="675">
        <f t="shared" si="307"/>
        <v>28.000000000000004</v>
      </c>
    </row>
    <row r="736" spans="1:8" x14ac:dyDescent="0.25">
      <c r="A736" s="39" t="s">
        <v>108</v>
      </c>
      <c r="B736" s="40" t="s">
        <v>109</v>
      </c>
      <c r="C736" s="665">
        <f>C737</f>
        <v>0</v>
      </c>
      <c r="D736" s="665">
        <f>D737</f>
        <v>0</v>
      </c>
      <c r="E736" s="665">
        <f t="shared" ref="E736:F736" si="313">E737</f>
        <v>1000</v>
      </c>
      <c r="F736" s="665">
        <f t="shared" si="313"/>
        <v>0</v>
      </c>
      <c r="G736" s="666">
        <f t="shared" si="306"/>
        <v>0</v>
      </c>
      <c r="H736" s="666">
        <f t="shared" si="307"/>
        <v>0</v>
      </c>
    </row>
    <row r="737" spans="1:8" x14ac:dyDescent="0.25">
      <c r="A737" s="41" t="s">
        <v>496</v>
      </c>
      <c r="B737" s="42" t="s">
        <v>392</v>
      </c>
      <c r="C737" s="673"/>
      <c r="D737" s="673"/>
      <c r="E737" s="673">
        <v>1000</v>
      </c>
      <c r="F737" s="673"/>
      <c r="G737" s="675">
        <f t="shared" si="306"/>
        <v>0</v>
      </c>
      <c r="H737" s="675">
        <f t="shared" si="307"/>
        <v>0</v>
      </c>
    </row>
    <row r="738" spans="1:8" s="663" customFormat="1" x14ac:dyDescent="0.25">
      <c r="A738" s="39" t="s">
        <v>112</v>
      </c>
      <c r="B738" s="40" t="s">
        <v>113</v>
      </c>
      <c r="C738" s="665">
        <f t="shared" ref="C738:D738" si="314">C739+C742+C743</f>
        <v>0</v>
      </c>
      <c r="D738" s="665">
        <f t="shared" si="314"/>
        <v>1500</v>
      </c>
      <c r="E738" s="665">
        <f>E739+E742+E743</f>
        <v>2500</v>
      </c>
      <c r="F738" s="665">
        <f>F739+F742+F743</f>
        <v>1086.27</v>
      </c>
      <c r="G738" s="666">
        <f t="shared" si="306"/>
        <v>72.417999999999992</v>
      </c>
      <c r="H738" s="666">
        <f t="shared" si="307"/>
        <v>43.450800000000001</v>
      </c>
    </row>
    <row r="739" spans="1:8" x14ac:dyDescent="0.25">
      <c r="A739" s="39" t="s">
        <v>114</v>
      </c>
      <c r="B739" s="709" t="s">
        <v>115</v>
      </c>
      <c r="C739" s="665">
        <f>C740+C741</f>
        <v>0</v>
      </c>
      <c r="D739" s="665">
        <f>D740+D741</f>
        <v>0</v>
      </c>
      <c r="E739" s="665">
        <f>E740+E741</f>
        <v>2000</v>
      </c>
      <c r="F739" s="665">
        <f>F740+F741</f>
        <v>1086.27</v>
      </c>
      <c r="G739" s="666">
        <f t="shared" si="306"/>
        <v>1086.27</v>
      </c>
      <c r="H739" s="666">
        <f t="shared" si="307"/>
        <v>54.313500000000005</v>
      </c>
    </row>
    <row r="740" spans="1:8" x14ac:dyDescent="0.25">
      <c r="A740" s="41" t="s">
        <v>497</v>
      </c>
      <c r="B740" s="710" t="s">
        <v>394</v>
      </c>
      <c r="C740" s="673"/>
      <c r="D740" s="673"/>
      <c r="E740" s="673">
        <v>800</v>
      </c>
      <c r="F740" s="673">
        <v>471.37</v>
      </c>
      <c r="G740" s="675">
        <f t="shared" si="306"/>
        <v>471.37</v>
      </c>
      <c r="H740" s="675">
        <f t="shared" si="307"/>
        <v>58.921250000000001</v>
      </c>
    </row>
    <row r="741" spans="1:8" x14ac:dyDescent="0.25">
      <c r="A741" s="41">
        <v>32219</v>
      </c>
      <c r="B741" s="710" t="s">
        <v>398</v>
      </c>
      <c r="C741" s="673"/>
      <c r="D741" s="673"/>
      <c r="E741" s="673">
        <v>1200</v>
      </c>
      <c r="F741" s="673">
        <v>614.9</v>
      </c>
      <c r="G741" s="675">
        <f t="shared" si="306"/>
        <v>614.9</v>
      </c>
      <c r="H741" s="675">
        <f t="shared" si="307"/>
        <v>51.24166666666666</v>
      </c>
    </row>
    <row r="742" spans="1:8" hidden="1" x14ac:dyDescent="0.25">
      <c r="A742" s="39" t="s">
        <v>116</v>
      </c>
      <c r="B742" s="709" t="s">
        <v>117</v>
      </c>
      <c r="C742" s="665"/>
      <c r="D742" s="665"/>
      <c r="E742" s="665"/>
      <c r="F742" s="665"/>
      <c r="G742" s="666">
        <f t="shared" si="306"/>
        <v>0</v>
      </c>
      <c r="H742" s="666">
        <f t="shared" si="307"/>
        <v>0</v>
      </c>
    </row>
    <row r="743" spans="1:8" x14ac:dyDescent="0.25">
      <c r="A743" s="39" t="s">
        <v>118</v>
      </c>
      <c r="B743" s="709" t="s">
        <v>119</v>
      </c>
      <c r="C743" s="665">
        <f>C744</f>
        <v>0</v>
      </c>
      <c r="D743" s="665">
        <f>D744</f>
        <v>1500</v>
      </c>
      <c r="E743" s="665">
        <f>E744</f>
        <v>500</v>
      </c>
      <c r="F743" s="665">
        <f>F744</f>
        <v>0</v>
      </c>
      <c r="G743" s="666">
        <f t="shared" si="306"/>
        <v>0</v>
      </c>
      <c r="H743" s="666">
        <f t="shared" si="307"/>
        <v>0</v>
      </c>
    </row>
    <row r="744" spans="1:8" x14ac:dyDescent="0.25">
      <c r="A744" s="41" t="s">
        <v>484</v>
      </c>
      <c r="B744" s="710" t="s">
        <v>402</v>
      </c>
      <c r="C744" s="673">
        <v>0</v>
      </c>
      <c r="D744" s="673">
        <v>1500</v>
      </c>
      <c r="E744" s="673">
        <v>500</v>
      </c>
      <c r="F744" s="673"/>
      <c r="G744" s="675">
        <f t="shared" si="306"/>
        <v>0</v>
      </c>
      <c r="H744" s="675">
        <f t="shared" si="307"/>
        <v>0</v>
      </c>
    </row>
    <row r="745" spans="1:8" hidden="1" x14ac:dyDescent="0.25">
      <c r="A745" s="39" t="s">
        <v>120</v>
      </c>
      <c r="B745" s="40" t="s">
        <v>321</v>
      </c>
      <c r="C745" s="665"/>
      <c r="D745" s="665"/>
      <c r="E745" s="665"/>
      <c r="F745" s="665"/>
      <c r="G745" s="666">
        <f t="shared" si="306"/>
        <v>0</v>
      </c>
      <c r="H745" s="666">
        <f t="shared" si="307"/>
        <v>0</v>
      </c>
    </row>
    <row r="746" spans="1:8" hidden="1" x14ac:dyDescent="0.25">
      <c r="A746" s="39" t="s">
        <v>124</v>
      </c>
      <c r="B746" s="40" t="s">
        <v>125</v>
      </c>
      <c r="C746" s="665"/>
      <c r="D746" s="665"/>
      <c r="E746" s="665"/>
      <c r="F746" s="665"/>
      <c r="G746" s="666">
        <f t="shared" si="306"/>
        <v>0</v>
      </c>
      <c r="H746" s="666">
        <f t="shared" si="307"/>
        <v>0</v>
      </c>
    </row>
    <row r="747" spans="1:8" s="663" customFormat="1" x14ac:dyDescent="0.25">
      <c r="A747" s="39" t="s">
        <v>126</v>
      </c>
      <c r="B747" s="43" t="s">
        <v>127</v>
      </c>
      <c r="C747" s="665">
        <f>C748+C750+C752+C753+C754+C756</f>
        <v>0</v>
      </c>
      <c r="D747" s="665">
        <f t="shared" ref="D747:E747" si="315">D748+D750+D752+D753+D754+D756</f>
        <v>2500</v>
      </c>
      <c r="E747" s="665">
        <f t="shared" si="315"/>
        <v>2300</v>
      </c>
      <c r="F747" s="665">
        <f>F748+F750+F752+F753+F754+F756</f>
        <v>3128.45</v>
      </c>
      <c r="G747" s="666">
        <f t="shared" si="306"/>
        <v>125.13799999999999</v>
      </c>
      <c r="H747" s="666">
        <f t="shared" si="307"/>
        <v>136.01956521739129</v>
      </c>
    </row>
    <row r="748" spans="1:8" x14ac:dyDescent="0.25">
      <c r="A748" s="39" t="s">
        <v>128</v>
      </c>
      <c r="B748" s="43" t="s">
        <v>129</v>
      </c>
      <c r="C748" s="665">
        <f>C749</f>
        <v>0</v>
      </c>
      <c r="D748" s="665">
        <f>D749</f>
        <v>0</v>
      </c>
      <c r="E748" s="665">
        <f t="shared" ref="E748:F748" si="316">E749</f>
        <v>800</v>
      </c>
      <c r="F748" s="665">
        <f t="shared" si="316"/>
        <v>400</v>
      </c>
      <c r="G748" s="666">
        <f t="shared" si="306"/>
        <v>400</v>
      </c>
      <c r="H748" s="666">
        <f t="shared" si="307"/>
        <v>50</v>
      </c>
    </row>
    <row r="749" spans="1:8" x14ac:dyDescent="0.25">
      <c r="A749" s="41" t="s">
        <v>586</v>
      </c>
      <c r="B749" s="44" t="s">
        <v>587</v>
      </c>
      <c r="C749" s="673"/>
      <c r="D749" s="673"/>
      <c r="E749" s="673">
        <v>800</v>
      </c>
      <c r="F749" s="673">
        <v>400</v>
      </c>
      <c r="G749" s="675">
        <f t="shared" si="306"/>
        <v>400</v>
      </c>
      <c r="H749" s="675">
        <f t="shared" si="307"/>
        <v>50</v>
      </c>
    </row>
    <row r="750" spans="1:8" x14ac:dyDescent="0.25">
      <c r="A750" s="39" t="s">
        <v>132</v>
      </c>
      <c r="B750" s="43" t="s">
        <v>133</v>
      </c>
      <c r="C750" s="665">
        <f>C751</f>
        <v>0</v>
      </c>
      <c r="D750" s="665">
        <f t="shared" ref="D750:F750" si="317">D751</f>
        <v>0</v>
      </c>
      <c r="E750" s="665">
        <f t="shared" si="317"/>
        <v>0</v>
      </c>
      <c r="F750" s="665">
        <f t="shared" si="317"/>
        <v>497.91</v>
      </c>
      <c r="G750" s="666">
        <f t="shared" si="306"/>
        <v>497.91</v>
      </c>
      <c r="H750" s="666">
        <f t="shared" si="307"/>
        <v>497.91</v>
      </c>
    </row>
    <row r="751" spans="1:8" x14ac:dyDescent="0.25">
      <c r="A751" s="41" t="s">
        <v>489</v>
      </c>
      <c r="B751" s="44" t="s">
        <v>133</v>
      </c>
      <c r="C751" s="673"/>
      <c r="D751" s="673"/>
      <c r="E751" s="673"/>
      <c r="F751" s="673">
        <v>497.91</v>
      </c>
      <c r="G751" s="675">
        <f t="shared" si="306"/>
        <v>497.91</v>
      </c>
      <c r="H751" s="675">
        <f t="shared" si="307"/>
        <v>497.91</v>
      </c>
    </row>
    <row r="752" spans="1:8" hidden="1" x14ac:dyDescent="0.25">
      <c r="A752" s="39" t="s">
        <v>134</v>
      </c>
      <c r="B752" s="40" t="s">
        <v>135</v>
      </c>
      <c r="C752" s="665"/>
      <c r="D752" s="665"/>
      <c r="E752" s="665"/>
      <c r="F752" s="665"/>
      <c r="G752" s="666">
        <f t="shared" si="306"/>
        <v>0</v>
      </c>
      <c r="H752" s="666">
        <f t="shared" si="307"/>
        <v>0</v>
      </c>
    </row>
    <row r="753" spans="1:8" hidden="1" x14ac:dyDescent="0.25">
      <c r="A753" s="39" t="s">
        <v>217</v>
      </c>
      <c r="B753" s="40" t="s">
        <v>137</v>
      </c>
      <c r="C753" s="665"/>
      <c r="D753" s="665"/>
      <c r="E753" s="665"/>
      <c r="F753" s="665"/>
      <c r="G753" s="666">
        <f t="shared" si="306"/>
        <v>0</v>
      </c>
      <c r="H753" s="666">
        <f t="shared" si="307"/>
        <v>0</v>
      </c>
    </row>
    <row r="754" spans="1:8" x14ac:dyDescent="0.25">
      <c r="A754" s="39" t="s">
        <v>218</v>
      </c>
      <c r="B754" s="40" t="s">
        <v>138</v>
      </c>
      <c r="C754" s="665">
        <f>C755</f>
        <v>0</v>
      </c>
      <c r="D754" s="665">
        <f>D755</f>
        <v>2500</v>
      </c>
      <c r="E754" s="665">
        <f>E755</f>
        <v>1000</v>
      </c>
      <c r="F754" s="665">
        <f>F755</f>
        <v>1582.24</v>
      </c>
      <c r="G754" s="666">
        <f t="shared" si="306"/>
        <v>63.2896</v>
      </c>
      <c r="H754" s="666">
        <f t="shared" si="307"/>
        <v>158.22400000000002</v>
      </c>
    </row>
    <row r="755" spans="1:8" x14ac:dyDescent="0.25">
      <c r="A755" s="41" t="s">
        <v>499</v>
      </c>
      <c r="B755" s="42" t="s">
        <v>422</v>
      </c>
      <c r="C755" s="673">
        <v>0</v>
      </c>
      <c r="D755" s="673">
        <v>2500</v>
      </c>
      <c r="E755" s="673">
        <v>1000</v>
      </c>
      <c r="F755" s="673">
        <v>1582.24</v>
      </c>
      <c r="G755" s="675">
        <f t="shared" si="306"/>
        <v>63.2896</v>
      </c>
      <c r="H755" s="675">
        <f t="shared" si="307"/>
        <v>158.22400000000002</v>
      </c>
    </row>
    <row r="756" spans="1:8" x14ac:dyDescent="0.25">
      <c r="A756" s="39" t="s">
        <v>141</v>
      </c>
      <c r="B756" s="40" t="s">
        <v>142</v>
      </c>
      <c r="C756" s="665">
        <f>C757</f>
        <v>0</v>
      </c>
      <c r="D756" s="665">
        <f>D757</f>
        <v>0</v>
      </c>
      <c r="E756" s="665">
        <f t="shared" ref="E756:F756" si="318">E757</f>
        <v>500</v>
      </c>
      <c r="F756" s="665">
        <f t="shared" si="318"/>
        <v>648.29999999999995</v>
      </c>
      <c r="G756" s="666">
        <f t="shared" si="306"/>
        <v>648.29999999999995</v>
      </c>
      <c r="H756" s="666">
        <f t="shared" si="307"/>
        <v>129.66</v>
      </c>
    </row>
    <row r="757" spans="1:8" x14ac:dyDescent="0.25">
      <c r="A757" s="41" t="s">
        <v>500</v>
      </c>
      <c r="B757" s="42" t="s">
        <v>305</v>
      </c>
      <c r="C757" s="673"/>
      <c r="D757" s="673"/>
      <c r="E757" s="673">
        <v>500</v>
      </c>
      <c r="F757" s="673">
        <v>648.29999999999995</v>
      </c>
      <c r="G757" s="675">
        <f t="shared" si="306"/>
        <v>648.29999999999995</v>
      </c>
      <c r="H757" s="675">
        <f t="shared" si="307"/>
        <v>129.66</v>
      </c>
    </row>
    <row r="758" spans="1:8" x14ac:dyDescent="0.25">
      <c r="A758" s="39" t="s">
        <v>219</v>
      </c>
      <c r="B758" s="40" t="s">
        <v>144</v>
      </c>
      <c r="C758" s="665">
        <f>C759</f>
        <v>0</v>
      </c>
      <c r="D758" s="665">
        <f>D759</f>
        <v>0</v>
      </c>
      <c r="E758" s="665">
        <f t="shared" ref="E758:F759" si="319">E759</f>
        <v>1000</v>
      </c>
      <c r="F758" s="665">
        <f t="shared" si="319"/>
        <v>1441.66</v>
      </c>
      <c r="G758" s="666">
        <f t="shared" si="306"/>
        <v>1441.66</v>
      </c>
      <c r="H758" s="666">
        <f t="shared" si="307"/>
        <v>144.16600000000003</v>
      </c>
    </row>
    <row r="759" spans="1:8" x14ac:dyDescent="0.25">
      <c r="A759" s="39" t="s">
        <v>141</v>
      </c>
      <c r="B759" s="40" t="s">
        <v>148</v>
      </c>
      <c r="C759" s="665">
        <f>C760</f>
        <v>0</v>
      </c>
      <c r="D759" s="665">
        <f>D760</f>
        <v>0</v>
      </c>
      <c r="E759" s="665">
        <f t="shared" si="319"/>
        <v>1000</v>
      </c>
      <c r="F759" s="665">
        <f t="shared" si="319"/>
        <v>1441.66</v>
      </c>
      <c r="G759" s="666">
        <f t="shared" si="306"/>
        <v>1441.66</v>
      </c>
      <c r="H759" s="666">
        <f t="shared" si="307"/>
        <v>144.16600000000003</v>
      </c>
    </row>
    <row r="760" spans="1:8" x14ac:dyDescent="0.25">
      <c r="A760" s="41" t="s">
        <v>532</v>
      </c>
      <c r="B760" s="42" t="s">
        <v>148</v>
      </c>
      <c r="C760" s="673"/>
      <c r="D760" s="673"/>
      <c r="E760" s="673">
        <v>1000</v>
      </c>
      <c r="F760" s="673">
        <v>1441.66</v>
      </c>
      <c r="G760" s="675">
        <f t="shared" si="306"/>
        <v>1441.66</v>
      </c>
      <c r="H760" s="675">
        <f t="shared" si="307"/>
        <v>144.16600000000003</v>
      </c>
    </row>
    <row r="761" spans="1:8" s="663" customFormat="1" hidden="1" x14ac:dyDescent="0.25">
      <c r="A761" s="746" t="s">
        <v>361</v>
      </c>
      <c r="B761" s="751" t="s">
        <v>292</v>
      </c>
      <c r="C761" s="748">
        <f t="shared" ref="C761:F762" si="320">C762</f>
        <v>0</v>
      </c>
      <c r="D761" s="748">
        <f t="shared" si="320"/>
        <v>0</v>
      </c>
      <c r="E761" s="748">
        <f t="shared" si="320"/>
        <v>0</v>
      </c>
      <c r="F761" s="748">
        <f t="shared" si="320"/>
        <v>0</v>
      </c>
      <c r="G761" s="749">
        <f t="shared" si="306"/>
        <v>0</v>
      </c>
      <c r="H761" s="749">
        <f t="shared" si="307"/>
        <v>0</v>
      </c>
    </row>
    <row r="762" spans="1:8" s="663" customFormat="1" hidden="1" x14ac:dyDescent="0.25">
      <c r="A762" s="39" t="s">
        <v>362</v>
      </c>
      <c r="B762" s="40" t="s">
        <v>154</v>
      </c>
      <c r="C762" s="665">
        <f t="shared" si="320"/>
        <v>0</v>
      </c>
      <c r="D762" s="665">
        <f t="shared" si="320"/>
        <v>0</v>
      </c>
      <c r="E762" s="665">
        <f t="shared" si="320"/>
        <v>0</v>
      </c>
      <c r="F762" s="665">
        <f t="shared" si="320"/>
        <v>0</v>
      </c>
      <c r="G762" s="666">
        <f t="shared" si="306"/>
        <v>0</v>
      </c>
      <c r="H762" s="666">
        <f t="shared" si="307"/>
        <v>0</v>
      </c>
    </row>
    <row r="763" spans="1:8" hidden="1" x14ac:dyDescent="0.25">
      <c r="A763" s="41" t="s">
        <v>363</v>
      </c>
      <c r="B763" s="42" t="s">
        <v>364</v>
      </c>
      <c r="C763" s="673"/>
      <c r="D763" s="673"/>
      <c r="E763" s="673"/>
      <c r="F763" s="673"/>
      <c r="G763" s="675">
        <f t="shared" si="306"/>
        <v>0</v>
      </c>
      <c r="H763" s="675">
        <f t="shared" si="307"/>
        <v>0</v>
      </c>
    </row>
    <row r="764" spans="1:8" ht="58.5" x14ac:dyDescent="0.25">
      <c r="A764" s="730" t="s">
        <v>312</v>
      </c>
      <c r="B764" s="742" t="s">
        <v>624</v>
      </c>
      <c r="C764" s="732">
        <f>C765</f>
        <v>570468.75</v>
      </c>
      <c r="D764" s="732">
        <f t="shared" ref="D764:F771" si="321">D765</f>
        <v>0</v>
      </c>
      <c r="E764" s="732">
        <f t="shared" si="321"/>
        <v>0</v>
      </c>
      <c r="F764" s="732">
        <f t="shared" si="321"/>
        <v>1031.25</v>
      </c>
      <c r="G764" s="733">
        <f t="shared" si="306"/>
        <v>1031.25</v>
      </c>
      <c r="H764" s="733">
        <f t="shared" si="307"/>
        <v>1031.25</v>
      </c>
    </row>
    <row r="765" spans="1:8" x14ac:dyDescent="0.25">
      <c r="A765" s="720">
        <v>52</v>
      </c>
      <c r="B765" s="721" t="s">
        <v>224</v>
      </c>
      <c r="C765" s="722">
        <f>C766+C773</f>
        <v>570468.75</v>
      </c>
      <c r="D765" s="722">
        <f t="shared" ref="D765:F765" si="322">D766+D773</f>
        <v>0</v>
      </c>
      <c r="E765" s="722">
        <f t="shared" si="322"/>
        <v>0</v>
      </c>
      <c r="F765" s="722">
        <f t="shared" si="322"/>
        <v>1031.25</v>
      </c>
      <c r="G765" s="723">
        <f t="shared" si="306"/>
        <v>1031.25</v>
      </c>
      <c r="H765" s="723">
        <f t="shared" si="307"/>
        <v>1031.25</v>
      </c>
    </row>
    <row r="766" spans="1:8" x14ac:dyDescent="0.25">
      <c r="A766" s="738" t="s">
        <v>86</v>
      </c>
      <c r="B766" s="735" t="s">
        <v>87</v>
      </c>
      <c r="C766" s="736">
        <f>C767</f>
        <v>718.75</v>
      </c>
      <c r="D766" s="736">
        <f t="shared" si="321"/>
        <v>0</v>
      </c>
      <c r="E766" s="736">
        <f t="shared" si="321"/>
        <v>0</v>
      </c>
      <c r="F766" s="736">
        <f t="shared" si="321"/>
        <v>418.75</v>
      </c>
      <c r="G766" s="737">
        <f t="shared" si="306"/>
        <v>418.75</v>
      </c>
      <c r="H766" s="737">
        <f t="shared" si="307"/>
        <v>418.75</v>
      </c>
    </row>
    <row r="767" spans="1:8" s="663" customFormat="1" x14ac:dyDescent="0.25">
      <c r="A767" s="746">
        <v>32</v>
      </c>
      <c r="B767" s="747" t="s">
        <v>102</v>
      </c>
      <c r="C767" s="748">
        <f>C768</f>
        <v>718.75</v>
      </c>
      <c r="D767" s="748">
        <f t="shared" si="321"/>
        <v>0</v>
      </c>
      <c r="E767" s="748">
        <f t="shared" si="321"/>
        <v>0</v>
      </c>
      <c r="F767" s="748">
        <f t="shared" si="321"/>
        <v>418.75</v>
      </c>
      <c r="G767" s="749">
        <f t="shared" si="306"/>
        <v>418.75</v>
      </c>
      <c r="H767" s="749">
        <f t="shared" si="307"/>
        <v>418.75</v>
      </c>
    </row>
    <row r="768" spans="1:8" s="663" customFormat="1" x14ac:dyDescent="0.25">
      <c r="A768" s="39" t="s">
        <v>126</v>
      </c>
      <c r="B768" s="40" t="s">
        <v>127</v>
      </c>
      <c r="C768" s="665">
        <f>C769+C771</f>
        <v>718.75</v>
      </c>
      <c r="D768" s="665">
        <f t="shared" ref="D768:F768" si="323">D769+D771</f>
        <v>0</v>
      </c>
      <c r="E768" s="665">
        <f t="shared" si="323"/>
        <v>0</v>
      </c>
      <c r="F768" s="665">
        <f t="shared" si="323"/>
        <v>418.75</v>
      </c>
      <c r="G768" s="666">
        <f t="shared" si="306"/>
        <v>418.75</v>
      </c>
      <c r="H768" s="666">
        <f t="shared" si="307"/>
        <v>418.75</v>
      </c>
    </row>
    <row r="769" spans="1:8" s="663" customFormat="1" x14ac:dyDescent="0.25">
      <c r="A769" s="39" t="s">
        <v>218</v>
      </c>
      <c r="B769" s="40" t="s">
        <v>138</v>
      </c>
      <c r="C769" s="665">
        <f>C770</f>
        <v>0</v>
      </c>
      <c r="D769" s="665">
        <f t="shared" ref="D769:F769" si="324">D770</f>
        <v>0</v>
      </c>
      <c r="E769" s="665">
        <f t="shared" si="324"/>
        <v>0</v>
      </c>
      <c r="F769" s="665">
        <f t="shared" si="324"/>
        <v>418.75</v>
      </c>
      <c r="G769" s="666">
        <f t="shared" si="306"/>
        <v>418.75</v>
      </c>
      <c r="H769" s="666">
        <f t="shared" si="307"/>
        <v>418.75</v>
      </c>
    </row>
    <row r="770" spans="1:8" x14ac:dyDescent="0.25">
      <c r="A770" s="41" t="s">
        <v>597</v>
      </c>
      <c r="B770" s="42" t="s">
        <v>490</v>
      </c>
      <c r="C770" s="673"/>
      <c r="D770" s="673"/>
      <c r="E770" s="673"/>
      <c r="F770" s="673">
        <v>418.75</v>
      </c>
      <c r="G770" s="675">
        <f t="shared" si="306"/>
        <v>418.75</v>
      </c>
      <c r="H770" s="675">
        <f t="shared" si="307"/>
        <v>418.75</v>
      </c>
    </row>
    <row r="771" spans="1:8" s="663" customFormat="1" x14ac:dyDescent="0.25">
      <c r="A771" s="39" t="s">
        <v>141</v>
      </c>
      <c r="B771" s="40" t="s">
        <v>142</v>
      </c>
      <c r="C771" s="665">
        <f>C772</f>
        <v>718.75</v>
      </c>
      <c r="D771" s="665">
        <f t="shared" si="321"/>
        <v>0</v>
      </c>
      <c r="E771" s="665">
        <f t="shared" si="321"/>
        <v>0</v>
      </c>
      <c r="F771" s="665">
        <f t="shared" si="321"/>
        <v>0</v>
      </c>
      <c r="G771" s="666">
        <f t="shared" si="306"/>
        <v>0</v>
      </c>
      <c r="H771" s="666">
        <f t="shared" si="307"/>
        <v>0</v>
      </c>
    </row>
    <row r="772" spans="1:8" x14ac:dyDescent="0.25">
      <c r="A772" s="41" t="s">
        <v>500</v>
      </c>
      <c r="B772" s="42" t="s">
        <v>305</v>
      </c>
      <c r="C772" s="673">
        <v>718.75</v>
      </c>
      <c r="D772" s="673"/>
      <c r="E772" s="673"/>
      <c r="F772" s="673"/>
      <c r="G772" s="675">
        <f t="shared" si="306"/>
        <v>0</v>
      </c>
      <c r="H772" s="675">
        <f t="shared" si="307"/>
        <v>0</v>
      </c>
    </row>
    <row r="773" spans="1:8" x14ac:dyDescent="0.25">
      <c r="A773" s="738">
        <v>4</v>
      </c>
      <c r="B773" s="735" t="s">
        <v>174</v>
      </c>
      <c r="C773" s="736">
        <f>C774</f>
        <v>569750</v>
      </c>
      <c r="D773" s="736">
        <f t="shared" ref="D773:F776" si="325">D774</f>
        <v>0</v>
      </c>
      <c r="E773" s="736">
        <f t="shared" si="325"/>
        <v>0</v>
      </c>
      <c r="F773" s="736">
        <f t="shared" si="325"/>
        <v>612.5</v>
      </c>
      <c r="G773" s="737">
        <f t="shared" si="306"/>
        <v>612.5</v>
      </c>
      <c r="H773" s="737">
        <f t="shared" si="307"/>
        <v>612.5</v>
      </c>
    </row>
    <row r="774" spans="1:8" x14ac:dyDescent="0.25">
      <c r="A774" s="750">
        <v>42</v>
      </c>
      <c r="B774" s="747" t="s">
        <v>354</v>
      </c>
      <c r="C774" s="748">
        <f>C775+C778</f>
        <v>569750</v>
      </c>
      <c r="D774" s="748">
        <f t="shared" ref="D774:F774" si="326">D775+D778</f>
        <v>0</v>
      </c>
      <c r="E774" s="748">
        <f t="shared" si="326"/>
        <v>0</v>
      </c>
      <c r="F774" s="748">
        <f t="shared" si="326"/>
        <v>612.5</v>
      </c>
      <c r="G774" s="749">
        <f t="shared" si="306"/>
        <v>612.5</v>
      </c>
      <c r="H774" s="749">
        <f t="shared" si="307"/>
        <v>612.5</v>
      </c>
    </row>
    <row r="775" spans="1:8" x14ac:dyDescent="0.25">
      <c r="A775" s="47">
        <v>422</v>
      </c>
      <c r="B775" s="51" t="s">
        <v>184</v>
      </c>
      <c r="C775" s="665">
        <f>C776</f>
        <v>569750</v>
      </c>
      <c r="D775" s="665">
        <f t="shared" si="325"/>
        <v>0</v>
      </c>
      <c r="E775" s="665">
        <f t="shared" si="325"/>
        <v>0</v>
      </c>
      <c r="F775" s="665">
        <f t="shared" si="325"/>
        <v>0</v>
      </c>
      <c r="G775" s="666">
        <f t="shared" ref="G775:G797" si="327">IFERROR(F775/D775*100,F775)</f>
        <v>0</v>
      </c>
      <c r="H775" s="666">
        <f t="shared" ref="H775:H797" si="328">IFERROR(F775/E775*100,F775)</f>
        <v>0</v>
      </c>
    </row>
    <row r="776" spans="1:8" s="663" customFormat="1" x14ac:dyDescent="0.25">
      <c r="A776" s="39" t="s">
        <v>229</v>
      </c>
      <c r="B776" s="40" t="s">
        <v>190</v>
      </c>
      <c r="C776" s="665">
        <f>C777</f>
        <v>569750</v>
      </c>
      <c r="D776" s="665">
        <f t="shared" si="325"/>
        <v>0</v>
      </c>
      <c r="E776" s="665">
        <f t="shared" si="325"/>
        <v>0</v>
      </c>
      <c r="F776" s="665">
        <f t="shared" si="325"/>
        <v>0</v>
      </c>
      <c r="G776" s="666">
        <f t="shared" si="327"/>
        <v>0</v>
      </c>
      <c r="H776" s="666">
        <f t="shared" si="328"/>
        <v>0</v>
      </c>
    </row>
    <row r="777" spans="1:8" x14ac:dyDescent="0.25">
      <c r="A777" s="41" t="s">
        <v>503</v>
      </c>
      <c r="B777" s="42" t="s">
        <v>449</v>
      </c>
      <c r="C777" s="673">
        <v>569750</v>
      </c>
      <c r="D777" s="673"/>
      <c r="E777" s="673"/>
      <c r="F777" s="673"/>
      <c r="G777" s="675">
        <f t="shared" si="327"/>
        <v>0</v>
      </c>
      <c r="H777" s="675">
        <f t="shared" si="328"/>
        <v>0</v>
      </c>
    </row>
    <row r="778" spans="1:8" s="663" customFormat="1" x14ac:dyDescent="0.25">
      <c r="A778" s="39" t="s">
        <v>345</v>
      </c>
      <c r="B778" s="40" t="s">
        <v>192</v>
      </c>
      <c r="C778" s="665">
        <f>C779</f>
        <v>0</v>
      </c>
      <c r="D778" s="665">
        <f t="shared" ref="D778:F778" si="329">D779</f>
        <v>0</v>
      </c>
      <c r="E778" s="665">
        <f t="shared" si="329"/>
        <v>0</v>
      </c>
      <c r="F778" s="665">
        <f t="shared" si="329"/>
        <v>612.5</v>
      </c>
      <c r="G778" s="666">
        <f t="shared" si="327"/>
        <v>612.5</v>
      </c>
      <c r="H778" s="666">
        <f t="shared" si="328"/>
        <v>612.5</v>
      </c>
    </row>
    <row r="779" spans="1:8" x14ac:dyDescent="0.25">
      <c r="A779" s="41" t="s">
        <v>509</v>
      </c>
      <c r="B779" s="42" t="s">
        <v>192</v>
      </c>
      <c r="C779" s="673"/>
      <c r="D779" s="673"/>
      <c r="E779" s="673"/>
      <c r="F779" s="673">
        <v>612.5</v>
      </c>
      <c r="G779" s="675">
        <f t="shared" si="327"/>
        <v>612.5</v>
      </c>
      <c r="H779" s="675">
        <f t="shared" si="328"/>
        <v>612.5</v>
      </c>
    </row>
    <row r="780" spans="1:8" s="652" customFormat="1" ht="58.5" x14ac:dyDescent="0.25">
      <c r="A780" s="730" t="s">
        <v>312</v>
      </c>
      <c r="B780" s="742" t="s">
        <v>606</v>
      </c>
      <c r="C780" s="732">
        <f>C781</f>
        <v>0</v>
      </c>
      <c r="D780" s="732">
        <f>D781</f>
        <v>49500</v>
      </c>
      <c r="E780" s="732">
        <f t="shared" ref="E780:F780" si="330">E781</f>
        <v>49500</v>
      </c>
      <c r="F780" s="732">
        <f t="shared" si="330"/>
        <v>0</v>
      </c>
      <c r="G780" s="733">
        <f t="shared" si="327"/>
        <v>0</v>
      </c>
      <c r="H780" s="733">
        <f t="shared" si="328"/>
        <v>0</v>
      </c>
    </row>
    <row r="781" spans="1:8" s="711" customFormat="1" ht="15" x14ac:dyDescent="0.25">
      <c r="A781" s="720" t="s">
        <v>71</v>
      </c>
      <c r="B781" s="721" t="s">
        <v>580</v>
      </c>
      <c r="C781" s="722">
        <f>C782+C790</f>
        <v>0</v>
      </c>
      <c r="D781" s="722">
        <f>D782+D790</f>
        <v>49500</v>
      </c>
      <c r="E781" s="722">
        <f>E782+E790</f>
        <v>49500</v>
      </c>
      <c r="F781" s="722">
        <f>F782+F790</f>
        <v>0</v>
      </c>
      <c r="G781" s="723">
        <f t="shared" si="327"/>
        <v>0</v>
      </c>
      <c r="H781" s="723">
        <f t="shared" si="328"/>
        <v>0</v>
      </c>
    </row>
    <row r="782" spans="1:8" s="711" customFormat="1" ht="15" x14ac:dyDescent="0.25">
      <c r="A782" s="738" t="s">
        <v>86</v>
      </c>
      <c r="B782" s="735" t="s">
        <v>87</v>
      </c>
      <c r="C782" s="736">
        <f>C783</f>
        <v>0</v>
      </c>
      <c r="D782" s="736">
        <f>D783</f>
        <v>19810</v>
      </c>
      <c r="E782" s="736">
        <f t="shared" ref="E782:F782" si="331">E783</f>
        <v>19810</v>
      </c>
      <c r="F782" s="736">
        <f t="shared" si="331"/>
        <v>0</v>
      </c>
      <c r="G782" s="737">
        <f t="shared" si="327"/>
        <v>0</v>
      </c>
      <c r="H782" s="737">
        <f t="shared" si="328"/>
        <v>0</v>
      </c>
    </row>
    <row r="783" spans="1:8" s="711" customFormat="1" ht="15" x14ac:dyDescent="0.25">
      <c r="A783" s="746">
        <v>32</v>
      </c>
      <c r="B783" s="747" t="s">
        <v>102</v>
      </c>
      <c r="C783" s="748">
        <f>C784+C787</f>
        <v>0</v>
      </c>
      <c r="D783" s="748">
        <f>D784+D787</f>
        <v>19810</v>
      </c>
      <c r="E783" s="748">
        <f t="shared" ref="E783:F783" si="332">E784+E787</f>
        <v>19810</v>
      </c>
      <c r="F783" s="748">
        <f t="shared" si="332"/>
        <v>0</v>
      </c>
      <c r="G783" s="749">
        <f t="shared" si="327"/>
        <v>0</v>
      </c>
      <c r="H783" s="749">
        <f t="shared" si="328"/>
        <v>0</v>
      </c>
    </row>
    <row r="784" spans="1:8" s="711" customFormat="1" ht="15" x14ac:dyDescent="0.25">
      <c r="A784" s="39" t="s">
        <v>112</v>
      </c>
      <c r="B784" s="51" t="s">
        <v>113</v>
      </c>
      <c r="C784" s="665">
        <f>C785</f>
        <v>0</v>
      </c>
      <c r="D784" s="665">
        <f>D785</f>
        <v>9950</v>
      </c>
      <c r="E784" s="665">
        <f t="shared" ref="E784:F785" si="333">E785</f>
        <v>9950</v>
      </c>
      <c r="F784" s="665">
        <f t="shared" si="333"/>
        <v>0</v>
      </c>
      <c r="G784" s="666">
        <f t="shared" si="327"/>
        <v>0</v>
      </c>
      <c r="H784" s="666">
        <f t="shared" si="328"/>
        <v>0</v>
      </c>
    </row>
    <row r="785" spans="1:8" s="711" customFormat="1" ht="15" x14ac:dyDescent="0.25">
      <c r="A785" s="39" t="s">
        <v>120</v>
      </c>
      <c r="B785" s="51" t="s">
        <v>605</v>
      </c>
      <c r="C785" s="665">
        <f>C786</f>
        <v>0</v>
      </c>
      <c r="D785" s="665">
        <f>D786</f>
        <v>9950</v>
      </c>
      <c r="E785" s="665">
        <f t="shared" si="333"/>
        <v>9950</v>
      </c>
      <c r="F785" s="665">
        <f t="shared" si="333"/>
        <v>0</v>
      </c>
      <c r="G785" s="666">
        <f t="shared" si="327"/>
        <v>0</v>
      </c>
      <c r="H785" s="666">
        <f t="shared" si="328"/>
        <v>0</v>
      </c>
    </row>
    <row r="786" spans="1:8" s="711" customFormat="1" ht="15" x14ac:dyDescent="0.25">
      <c r="A786" s="41" t="s">
        <v>522</v>
      </c>
      <c r="B786" s="56" t="s">
        <v>531</v>
      </c>
      <c r="C786" s="673">
        <v>0</v>
      </c>
      <c r="D786" s="673">
        <v>9950</v>
      </c>
      <c r="E786" s="673">
        <v>9950</v>
      </c>
      <c r="F786" s="673"/>
      <c r="G786" s="675">
        <f t="shared" si="327"/>
        <v>0</v>
      </c>
      <c r="H786" s="675">
        <f t="shared" si="328"/>
        <v>0</v>
      </c>
    </row>
    <row r="787" spans="1:8" s="711" customFormat="1" ht="15" x14ac:dyDescent="0.25">
      <c r="A787" s="39" t="s">
        <v>126</v>
      </c>
      <c r="B787" s="40" t="s">
        <v>127</v>
      </c>
      <c r="C787" s="665">
        <f>C788</f>
        <v>0</v>
      </c>
      <c r="D787" s="665">
        <f>D788</f>
        <v>9860</v>
      </c>
      <c r="E787" s="665">
        <f>E788</f>
        <v>9860</v>
      </c>
      <c r="F787" s="665">
        <f>F788</f>
        <v>0</v>
      </c>
      <c r="G787" s="666">
        <f t="shared" si="327"/>
        <v>0</v>
      </c>
      <c r="H787" s="666">
        <f t="shared" si="328"/>
        <v>0</v>
      </c>
    </row>
    <row r="788" spans="1:8" s="711" customFormat="1" ht="15" x14ac:dyDescent="0.25">
      <c r="A788" s="39" t="s">
        <v>130</v>
      </c>
      <c r="B788" s="43" t="s">
        <v>131</v>
      </c>
      <c r="C788" s="665">
        <f>SUM(C789)</f>
        <v>0</v>
      </c>
      <c r="D788" s="665">
        <f>SUM(D789)</f>
        <v>9860</v>
      </c>
      <c r="E788" s="665">
        <f>SUM(E789)</f>
        <v>9860</v>
      </c>
      <c r="F788" s="665">
        <f>SUM(F789)</f>
        <v>0</v>
      </c>
      <c r="G788" s="666">
        <f t="shared" si="327"/>
        <v>0</v>
      </c>
      <c r="H788" s="666">
        <f t="shared" si="328"/>
        <v>0</v>
      </c>
    </row>
    <row r="789" spans="1:8" s="711" customFormat="1" ht="15" x14ac:dyDescent="0.25">
      <c r="A789" s="41" t="s">
        <v>510</v>
      </c>
      <c r="B789" s="44" t="s">
        <v>413</v>
      </c>
      <c r="C789" s="673">
        <v>0</v>
      </c>
      <c r="D789" s="673">
        <v>9860</v>
      </c>
      <c r="E789" s="673">
        <v>9860</v>
      </c>
      <c r="F789" s="673">
        <v>0</v>
      </c>
      <c r="G789" s="675">
        <f t="shared" si="327"/>
        <v>0</v>
      </c>
      <c r="H789" s="675">
        <f t="shared" si="328"/>
        <v>0</v>
      </c>
    </row>
    <row r="790" spans="1:8" s="700" customFormat="1" ht="15" x14ac:dyDescent="0.25">
      <c r="A790" s="738">
        <v>4</v>
      </c>
      <c r="B790" s="735" t="s">
        <v>174</v>
      </c>
      <c r="C790" s="736">
        <f t="shared" ref="C790:D793" si="334">C791</f>
        <v>0</v>
      </c>
      <c r="D790" s="736">
        <f t="shared" si="334"/>
        <v>29690</v>
      </c>
      <c r="E790" s="736">
        <f t="shared" ref="E790:F793" si="335">E791</f>
        <v>29690</v>
      </c>
      <c r="F790" s="736">
        <f t="shared" si="335"/>
        <v>0</v>
      </c>
      <c r="G790" s="737">
        <f t="shared" si="327"/>
        <v>0</v>
      </c>
      <c r="H790" s="737">
        <f t="shared" si="328"/>
        <v>0</v>
      </c>
    </row>
    <row r="791" spans="1:8" s="703" customFormat="1" ht="14.25" x14ac:dyDescent="0.2">
      <c r="A791" s="746" t="s">
        <v>196</v>
      </c>
      <c r="B791" s="747" t="s">
        <v>197</v>
      </c>
      <c r="C791" s="748">
        <f t="shared" si="334"/>
        <v>0</v>
      </c>
      <c r="D791" s="748">
        <f t="shared" si="334"/>
        <v>29690</v>
      </c>
      <c r="E791" s="748">
        <f t="shared" si="335"/>
        <v>29690</v>
      </c>
      <c r="F791" s="748">
        <f t="shared" si="335"/>
        <v>0</v>
      </c>
      <c r="G791" s="749">
        <f t="shared" si="327"/>
        <v>0</v>
      </c>
      <c r="H791" s="749">
        <f t="shared" si="328"/>
        <v>0</v>
      </c>
    </row>
    <row r="792" spans="1:8" s="703" customFormat="1" ht="14.25" x14ac:dyDescent="0.2">
      <c r="A792" s="712" t="s">
        <v>198</v>
      </c>
      <c r="B792" s="713" t="s">
        <v>199</v>
      </c>
      <c r="C792" s="665">
        <f t="shared" si="334"/>
        <v>0</v>
      </c>
      <c r="D792" s="665">
        <f t="shared" si="334"/>
        <v>29690</v>
      </c>
      <c r="E792" s="665">
        <f t="shared" si="335"/>
        <v>29690</v>
      </c>
      <c r="F792" s="665">
        <f t="shared" si="335"/>
        <v>0</v>
      </c>
      <c r="G792" s="666">
        <f t="shared" si="327"/>
        <v>0</v>
      </c>
      <c r="H792" s="666">
        <f t="shared" si="328"/>
        <v>0</v>
      </c>
    </row>
    <row r="793" spans="1:8" s="700" customFormat="1" ht="15" x14ac:dyDescent="0.25">
      <c r="A793" s="39" t="s">
        <v>200</v>
      </c>
      <c r="B793" s="709" t="s">
        <v>199</v>
      </c>
      <c r="C793" s="671">
        <f t="shared" si="334"/>
        <v>0</v>
      </c>
      <c r="D793" s="671">
        <f t="shared" si="334"/>
        <v>29690</v>
      </c>
      <c r="E793" s="671">
        <f t="shared" si="335"/>
        <v>29690</v>
      </c>
      <c r="F793" s="671">
        <f t="shared" si="335"/>
        <v>0</v>
      </c>
      <c r="G793" s="672">
        <f t="shared" si="327"/>
        <v>0</v>
      </c>
      <c r="H793" s="672">
        <f t="shared" si="328"/>
        <v>0</v>
      </c>
    </row>
    <row r="794" spans="1:8" s="700" customFormat="1" ht="15" x14ac:dyDescent="0.25">
      <c r="A794" s="41" t="s">
        <v>494</v>
      </c>
      <c r="B794" s="710" t="s">
        <v>199</v>
      </c>
      <c r="C794" s="668">
        <v>0</v>
      </c>
      <c r="D794" s="668">
        <v>29690</v>
      </c>
      <c r="E794" s="668">
        <v>29690</v>
      </c>
      <c r="F794" s="668">
        <v>0</v>
      </c>
      <c r="G794" s="669">
        <f t="shared" si="327"/>
        <v>0</v>
      </c>
      <c r="H794" s="669">
        <f t="shared" si="328"/>
        <v>0</v>
      </c>
    </row>
    <row r="795" spans="1:8" x14ac:dyDescent="0.25">
      <c r="A795" s="714">
        <v>3</v>
      </c>
      <c r="B795" s="714" t="s">
        <v>87</v>
      </c>
      <c r="C795" s="715">
        <f>C8+C199+C299+C362+C378+C398+C404+C438+C444+C492+C500+C545+C564+C586+C611+C640+C671+C688+C782+C766+C720</f>
        <v>5084825.8805000009</v>
      </c>
      <c r="D795" s="715">
        <f>D8+D199+D299+D362+D378+D398+D404+D438+D444+D492+D500+D545+D564+D586+D611+D640+D671+D688+D782+D766+D720</f>
        <v>4299508.6899999995</v>
      </c>
      <c r="E795" s="715">
        <f>E8+E199+E299+E362+E378+E398+E404+E438+E444+E492+E500+E545+E564+E586+E611+E640+E671+E688+E782+E766+E720</f>
        <v>4337963.4800000004</v>
      </c>
      <c r="F795" s="715">
        <f>F8+F199+F299+F362+F378+F398+F404+F438+F444+F492+F500+F545+F564+F586+F611+F640+F671+F688+F782+F766+F720</f>
        <v>4919030.6400000006</v>
      </c>
      <c r="G795" s="716">
        <f t="shared" si="327"/>
        <v>114.40913357009639</v>
      </c>
      <c r="H795" s="716">
        <f t="shared" si="328"/>
        <v>113.39492973324894</v>
      </c>
    </row>
    <row r="796" spans="1:8" x14ac:dyDescent="0.25">
      <c r="A796" s="714">
        <v>4</v>
      </c>
      <c r="B796" s="714" t="s">
        <v>174</v>
      </c>
      <c r="C796" s="715">
        <f>C163+C280+C346+C371+C388+C527+C709+C773+C790</f>
        <v>846874.29</v>
      </c>
      <c r="D796" s="715">
        <f>D163+D280+D346+D371+D388+D527+D709+D773+D790</f>
        <v>426425.88</v>
      </c>
      <c r="E796" s="715">
        <f>E163+E280+E346+E371+E388+E527+E709+E773+E790</f>
        <v>425978.17000000004</v>
      </c>
      <c r="F796" s="715">
        <f>F163+F280+F346+F371+F388+F527+F709+F773+F790</f>
        <v>269800.91000000003</v>
      </c>
      <c r="G796" s="716">
        <f t="shared" si="327"/>
        <v>63.270294476498478</v>
      </c>
      <c r="H796" s="716">
        <f t="shared" si="328"/>
        <v>63.336792587282119</v>
      </c>
    </row>
    <row r="797" spans="1:8" x14ac:dyDescent="0.25">
      <c r="A797" s="714"/>
      <c r="B797" s="714" t="s">
        <v>365</v>
      </c>
      <c r="C797" s="715">
        <f>SUM(C795:C796)</f>
        <v>5931700.1705000009</v>
      </c>
      <c r="D797" s="715">
        <f>SUM(D795:D796)</f>
        <v>4725934.5699999994</v>
      </c>
      <c r="E797" s="715">
        <f>SUM(E795:E796)</f>
        <v>4763941.6500000004</v>
      </c>
      <c r="F797" s="715">
        <f>SUM(F795:F796)</f>
        <v>5188831.5500000007</v>
      </c>
      <c r="G797" s="716">
        <f t="shared" si="327"/>
        <v>109.79482413782131</v>
      </c>
      <c r="H797" s="716">
        <f t="shared" si="328"/>
        <v>108.91887288334021</v>
      </c>
    </row>
    <row r="805" spans="1:8" s="718" customFormat="1" x14ac:dyDescent="0.25">
      <c r="A805" s="696"/>
      <c r="B805" s="696"/>
      <c r="C805" s="717"/>
      <c r="D805" s="696"/>
      <c r="E805" s="696"/>
      <c r="G805" s="719"/>
      <c r="H805" s="719"/>
    </row>
  </sheetData>
  <mergeCells count="2"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scale="45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I47"/>
  <sheetViews>
    <sheetView workbookViewId="0">
      <selection activeCell="J45" sqref="J45"/>
    </sheetView>
  </sheetViews>
  <sheetFormatPr defaultRowHeight="15" x14ac:dyDescent="0.25"/>
  <cols>
    <col min="1" max="1" width="9.140625" style="1"/>
    <col min="2" max="2" width="5.28515625" style="1" bestFit="1" customWidth="1"/>
    <col min="3" max="3" width="37.28515625" style="1" bestFit="1" customWidth="1"/>
    <col min="4" max="4" width="17.7109375" style="1" hidden="1" customWidth="1"/>
    <col min="5" max="5" width="17.7109375" style="1" customWidth="1"/>
    <col min="6" max="6" width="17.7109375" style="1" bestFit="1" customWidth="1"/>
    <col min="7" max="7" width="12.85546875" style="1" hidden="1" customWidth="1"/>
    <col min="8" max="9" width="9.140625" style="1"/>
    <col min="10" max="10" width="42.7109375" style="1" customWidth="1"/>
    <col min="11" max="11" width="14.85546875" style="1" customWidth="1"/>
    <col min="12" max="12" width="15.42578125" style="1" customWidth="1"/>
    <col min="13" max="13" width="9.42578125" style="1" bestFit="1" customWidth="1"/>
    <col min="14" max="16384" width="9.140625" style="1"/>
  </cols>
  <sheetData>
    <row r="2" spans="2:8" ht="18.75" x14ac:dyDescent="0.3">
      <c r="C2" s="28" t="s">
        <v>577</v>
      </c>
      <c r="D2" s="28"/>
      <c r="E2" s="28"/>
      <c r="F2" s="28"/>
      <c r="G2" s="2"/>
    </row>
    <row r="4" spans="2:8" ht="15.75" customHeight="1" x14ac:dyDescent="0.25">
      <c r="B4" s="8" t="s">
        <v>578</v>
      </c>
      <c r="C4" s="9" t="s">
        <v>583</v>
      </c>
      <c r="D4" s="3" t="s">
        <v>617</v>
      </c>
      <c r="E4" s="29" t="s">
        <v>618</v>
      </c>
      <c r="F4" s="4" t="s">
        <v>584</v>
      </c>
      <c r="G4" s="10" t="s">
        <v>544</v>
      </c>
      <c r="H4" s="10" t="s">
        <v>544</v>
      </c>
    </row>
    <row r="5" spans="2:8" ht="15.75" x14ac:dyDescent="0.25">
      <c r="B5" s="8"/>
      <c r="C5" s="11" t="s">
        <v>567</v>
      </c>
      <c r="D5" s="12">
        <f t="shared" ref="D5:F5" si="0">D6+D8+D10+D14+D16+D18</f>
        <v>4702255.63</v>
      </c>
      <c r="E5" s="12">
        <f t="shared" si="0"/>
        <v>5292700.84</v>
      </c>
      <c r="F5" s="12">
        <f t="shared" si="0"/>
        <v>5342526.1500000004</v>
      </c>
      <c r="G5" s="13">
        <f>F5/D5*100</f>
        <v>113.61624229689104</v>
      </c>
      <c r="H5" s="13">
        <f>F5/E5*100</f>
        <v>100.9413966801872</v>
      </c>
    </row>
    <row r="6" spans="2:8" ht="15.75" x14ac:dyDescent="0.25">
      <c r="B6" s="8">
        <v>1</v>
      </c>
      <c r="C6" s="14" t="s">
        <v>15</v>
      </c>
      <c r="D6" s="15">
        <f>D7</f>
        <v>369361.73000000004</v>
      </c>
      <c r="E6" s="15">
        <f t="shared" ref="E6:F6" si="1">E7</f>
        <v>608264.02</v>
      </c>
      <c r="F6" s="15">
        <f t="shared" si="1"/>
        <v>618103.51</v>
      </c>
      <c r="G6" s="13">
        <f>F6/D6*100</f>
        <v>167.34367959560942</v>
      </c>
      <c r="H6" s="13">
        <f t="shared" ref="H6:H21" si="2">F6/E6*100</f>
        <v>101.61763472381615</v>
      </c>
    </row>
    <row r="7" spans="2:8" ht="15.75" hidden="1" x14ac:dyDescent="0.25">
      <c r="B7" s="8"/>
      <c r="C7" s="14" t="s">
        <v>568</v>
      </c>
      <c r="D7" s="15">
        <f>'Prihodi po ek klas i izvorima'!F15</f>
        <v>369361.73000000004</v>
      </c>
      <c r="E7" s="15">
        <f>'Prihodi po ek klas i izvorima'!G15</f>
        <v>608264.02</v>
      </c>
      <c r="F7" s="15">
        <f>'Prihodi po ek klas i izvorima'!H15</f>
        <v>618103.51</v>
      </c>
      <c r="G7" s="13">
        <f t="shared" ref="G7:G19" si="3">F7/D7*100</f>
        <v>167.34367959560942</v>
      </c>
      <c r="H7" s="13">
        <f t="shared" si="2"/>
        <v>101.61763472381615</v>
      </c>
    </row>
    <row r="8" spans="2:8" ht="15.75" x14ac:dyDescent="0.25">
      <c r="B8" s="8">
        <v>2</v>
      </c>
      <c r="C8" s="14" t="s">
        <v>581</v>
      </c>
      <c r="D8" s="15">
        <f>D9</f>
        <v>199283.29</v>
      </c>
      <c r="E8" s="15">
        <f t="shared" ref="E8:F8" si="4">E9</f>
        <v>163116.32999999999</v>
      </c>
      <c r="F8" s="15">
        <f t="shared" si="4"/>
        <v>137837.85999999999</v>
      </c>
      <c r="G8" s="13">
        <f t="shared" si="3"/>
        <v>69.166792659836148</v>
      </c>
      <c r="H8" s="13">
        <f t="shared" si="2"/>
        <v>84.502796255899085</v>
      </c>
    </row>
    <row r="9" spans="2:8" ht="15.75" hidden="1" x14ac:dyDescent="0.25">
      <c r="B9" s="8"/>
      <c r="C9" s="14" t="s">
        <v>569</v>
      </c>
      <c r="D9" s="15">
        <f>'Prihodi po ek klas i izvorima'!F75</f>
        <v>199283.29</v>
      </c>
      <c r="E9" s="15">
        <f>'Prihodi po ek klas i izvorima'!G75</f>
        <v>163116.32999999999</v>
      </c>
      <c r="F9" s="15">
        <f>'Prihodi po ek klas i izvorima'!H75</f>
        <v>137837.85999999999</v>
      </c>
      <c r="G9" s="13">
        <f t="shared" si="3"/>
        <v>69.166792659836148</v>
      </c>
      <c r="H9" s="13">
        <f t="shared" si="2"/>
        <v>84.502796255899085</v>
      </c>
    </row>
    <row r="10" spans="2:8" ht="15.75" x14ac:dyDescent="0.25">
      <c r="B10" s="8">
        <v>3</v>
      </c>
      <c r="C10" s="16" t="s">
        <v>582</v>
      </c>
      <c r="D10" s="15">
        <f>SUM(D11:D13)</f>
        <v>3949596.66</v>
      </c>
      <c r="E10" s="15">
        <f>SUM(E11:E13)</f>
        <v>3949596.66</v>
      </c>
      <c r="F10" s="15">
        <f>SUM(F11:F13)</f>
        <v>4276069.55</v>
      </c>
      <c r="G10" s="13">
        <f t="shared" si="3"/>
        <v>108.26598050647532</v>
      </c>
      <c r="H10" s="13">
        <f t="shared" si="2"/>
        <v>108.26598050647532</v>
      </c>
    </row>
    <row r="11" spans="2:8" ht="15.75" hidden="1" x14ac:dyDescent="0.25">
      <c r="B11" s="8"/>
      <c r="C11" s="17" t="s">
        <v>570</v>
      </c>
      <c r="D11" s="15">
        <f>'Prihodi po ek klas i izvorima'!F46</f>
        <v>3899096.66</v>
      </c>
      <c r="E11" s="15">
        <f>'Prihodi po ek klas i izvorima'!G46</f>
        <v>3899096.66</v>
      </c>
      <c r="F11" s="15">
        <f>'Prihodi po ek klas i izvorima'!H46</f>
        <v>4227449.2699999996</v>
      </c>
      <c r="G11" s="13">
        <f t="shared" si="3"/>
        <v>108.4212482693363</v>
      </c>
      <c r="H11" s="13">
        <f t="shared" si="2"/>
        <v>108.4212482693363</v>
      </c>
    </row>
    <row r="12" spans="2:8" ht="47.25" hidden="1" x14ac:dyDescent="0.25">
      <c r="B12" s="8"/>
      <c r="C12" s="18" t="s">
        <v>571</v>
      </c>
      <c r="D12" s="15">
        <f>'Prihodi po ek klas i izvorima'!F40</f>
        <v>47500</v>
      </c>
      <c r="E12" s="15">
        <f>'Prihodi po ek klas i izvorima'!G40</f>
        <v>47500</v>
      </c>
      <c r="F12" s="15">
        <f>'Prihodi po ek klas i izvorima'!H40</f>
        <v>48280.21</v>
      </c>
      <c r="G12" s="13">
        <f t="shared" si="3"/>
        <v>101.64254736842105</v>
      </c>
      <c r="H12" s="13">
        <f t="shared" si="2"/>
        <v>101.64254736842105</v>
      </c>
    </row>
    <row r="13" spans="2:8" ht="15.75" hidden="1" x14ac:dyDescent="0.25">
      <c r="B13" s="8"/>
      <c r="C13" s="17" t="s">
        <v>572</v>
      </c>
      <c r="D13" s="15">
        <f>'Prihodi po ek klas i izvorima'!F53</f>
        <v>3000</v>
      </c>
      <c r="E13" s="15">
        <f>'Prihodi po ek klas i izvorima'!G53</f>
        <v>3000</v>
      </c>
      <c r="F13" s="15">
        <f>'Prihodi po ek klas i izvorima'!H53</f>
        <v>340.07</v>
      </c>
      <c r="G13" s="13">
        <f t="shared" si="3"/>
        <v>11.335666666666667</v>
      </c>
      <c r="H13" s="13">
        <f t="shared" si="2"/>
        <v>11.335666666666667</v>
      </c>
    </row>
    <row r="14" spans="2:8" ht="15.75" x14ac:dyDescent="0.25">
      <c r="B14" s="8">
        <v>4</v>
      </c>
      <c r="C14" s="17" t="s">
        <v>41</v>
      </c>
      <c r="D14" s="15">
        <f>D15</f>
        <v>128013.95</v>
      </c>
      <c r="E14" s="15">
        <f t="shared" ref="E14:F14" si="5">E15</f>
        <v>514923.82999999996</v>
      </c>
      <c r="F14" s="15">
        <f t="shared" si="5"/>
        <v>309715.23</v>
      </c>
      <c r="G14" s="13">
        <f t="shared" si="3"/>
        <v>241.93865590429792</v>
      </c>
      <c r="H14" s="13">
        <f t="shared" si="2"/>
        <v>60.147775642855763</v>
      </c>
    </row>
    <row r="15" spans="2:8" ht="15.75" hidden="1" x14ac:dyDescent="0.25">
      <c r="B15" s="8"/>
      <c r="C15" s="17" t="s">
        <v>573</v>
      </c>
      <c r="D15" s="15">
        <f>'Prihodi po ek klas i izvorima'!F36</f>
        <v>128013.95</v>
      </c>
      <c r="E15" s="15">
        <f>'Prihodi po ek klas i izvorima'!G36</f>
        <v>514923.82999999996</v>
      </c>
      <c r="F15" s="15">
        <f>'Prihodi po ek klas i izvorima'!H36</f>
        <v>309715.23</v>
      </c>
      <c r="G15" s="13">
        <f t="shared" si="3"/>
        <v>241.93865590429792</v>
      </c>
      <c r="H15" s="13">
        <f t="shared" si="2"/>
        <v>60.147775642855763</v>
      </c>
    </row>
    <row r="16" spans="2:8" ht="15.75" x14ac:dyDescent="0.25">
      <c r="B16" s="8">
        <v>5</v>
      </c>
      <c r="C16" s="17" t="s">
        <v>580</v>
      </c>
      <c r="D16" s="15">
        <f>D17</f>
        <v>50500</v>
      </c>
      <c r="E16" s="15">
        <f>E17</f>
        <v>50500</v>
      </c>
      <c r="F16" s="15">
        <f>F17</f>
        <v>0</v>
      </c>
      <c r="G16" s="13">
        <f t="shared" si="3"/>
        <v>0</v>
      </c>
      <c r="H16" s="13">
        <f t="shared" si="2"/>
        <v>0</v>
      </c>
    </row>
    <row r="17" spans="2:9" ht="15.75" hidden="1" x14ac:dyDescent="0.25">
      <c r="B17" s="8"/>
      <c r="C17" s="17" t="s">
        <v>574</v>
      </c>
      <c r="D17" s="15">
        <f>'Prihodi po ek klas i izvorima'!F81</f>
        <v>50500</v>
      </c>
      <c r="E17" s="15">
        <f>'Prihodi po ek klas i izvorima'!G81</f>
        <v>50500</v>
      </c>
      <c r="F17" s="15">
        <f>'Prihodi po ek klas i izvorima'!H81</f>
        <v>0</v>
      </c>
      <c r="G17" s="13">
        <f t="shared" si="3"/>
        <v>0</v>
      </c>
      <c r="H17" s="13">
        <f t="shared" si="2"/>
        <v>0</v>
      </c>
    </row>
    <row r="18" spans="2:9" ht="31.5" x14ac:dyDescent="0.25">
      <c r="B18" s="8">
        <v>6</v>
      </c>
      <c r="C18" s="18" t="s">
        <v>579</v>
      </c>
      <c r="D18" s="15">
        <f>D19</f>
        <v>5500</v>
      </c>
      <c r="E18" s="15">
        <f t="shared" ref="E18:F18" si="6">E19</f>
        <v>6300</v>
      </c>
      <c r="F18" s="15">
        <f t="shared" si="6"/>
        <v>800</v>
      </c>
      <c r="G18" s="13">
        <f t="shared" si="3"/>
        <v>14.545454545454545</v>
      </c>
      <c r="H18" s="13">
        <f t="shared" si="2"/>
        <v>12.698412698412698</v>
      </c>
    </row>
    <row r="19" spans="2:9" ht="31.5" hidden="1" x14ac:dyDescent="0.25">
      <c r="B19" s="8"/>
      <c r="C19" s="19" t="s">
        <v>575</v>
      </c>
      <c r="D19" s="20">
        <f>'Prihodi po ek klas i izvorima'!F86</f>
        <v>5500</v>
      </c>
      <c r="E19" s="20">
        <f>'Prihodi po ek klas i izvorima'!G86+'Prihodi po ek klas i izvorima'!G94</f>
        <v>6300</v>
      </c>
      <c r="F19" s="20">
        <f>'Prihodi po ek klas i izvorima'!H86+'Prihodi po ek klas i izvorima'!H94</f>
        <v>800</v>
      </c>
      <c r="G19" s="13">
        <f t="shared" si="3"/>
        <v>14.545454545454545</v>
      </c>
      <c r="H19" s="13">
        <f t="shared" si="2"/>
        <v>12.698412698412698</v>
      </c>
    </row>
    <row r="20" spans="2:9" ht="15.75" x14ac:dyDescent="0.25">
      <c r="B20" s="8"/>
      <c r="C20" s="642" t="s">
        <v>567</v>
      </c>
      <c r="D20" s="12">
        <f>D6+D8+D10+D14+D16+D18</f>
        <v>4702255.63</v>
      </c>
      <c r="E20" s="640">
        <f>E6+E8+E10+E14+E16+E18</f>
        <v>5292700.84</v>
      </c>
      <c r="F20" s="640">
        <f>F6+F8+F10+F14+F16+F18</f>
        <v>5342526.1500000004</v>
      </c>
      <c r="G20" s="13">
        <f>F20/D20*100</f>
        <v>113.61624229689104</v>
      </c>
      <c r="H20" s="13">
        <f t="shared" si="2"/>
        <v>100.9413966801872</v>
      </c>
    </row>
    <row r="21" spans="2:9" ht="15.75" x14ac:dyDescent="0.25">
      <c r="B21" s="5"/>
      <c r="C21" s="643" t="s">
        <v>630</v>
      </c>
      <c r="D21" s="7"/>
      <c r="E21" s="641">
        <f>E20-E6</f>
        <v>4684436.82</v>
      </c>
      <c r="F21" s="641">
        <f t="shared" ref="F21:G21" si="7">F20-F6</f>
        <v>4724422.6400000006</v>
      </c>
      <c r="G21" s="7">
        <f t="shared" si="7"/>
        <v>-53.727437298718371</v>
      </c>
      <c r="H21" s="13">
        <f t="shared" si="2"/>
        <v>100.85358862839782</v>
      </c>
      <c r="I21" s="1" t="s">
        <v>631</v>
      </c>
    </row>
    <row r="22" spans="2:9" x14ac:dyDescent="0.25">
      <c r="B22" s="5"/>
      <c r="C22" s="6"/>
      <c r="D22" s="6"/>
      <c r="E22" s="6"/>
      <c r="F22" s="6"/>
      <c r="G22" s="6"/>
    </row>
    <row r="23" spans="2:9" ht="31.5" x14ac:dyDescent="0.25">
      <c r="B23" s="8" t="s">
        <v>578</v>
      </c>
      <c r="C23" s="9" t="s">
        <v>583</v>
      </c>
      <c r="D23" s="3" t="s">
        <v>617</v>
      </c>
      <c r="E23" s="29" t="s">
        <v>618</v>
      </c>
      <c r="F23" s="4" t="s">
        <v>584</v>
      </c>
      <c r="G23" s="10" t="s">
        <v>544</v>
      </c>
      <c r="H23" s="10" t="s">
        <v>544</v>
      </c>
    </row>
    <row r="24" spans="2:9" ht="15.75" x14ac:dyDescent="0.25">
      <c r="B24" s="8"/>
      <c r="C24" s="11" t="s">
        <v>368</v>
      </c>
      <c r="D24" s="12">
        <f>D25+D27+D29+D31+D33+D35</f>
        <v>4725934.57</v>
      </c>
      <c r="E24" s="12">
        <f>E25+E27+E29+E31+E33+E35</f>
        <v>4763941.6500000004</v>
      </c>
      <c r="F24" s="12">
        <f>F25+F27+F29+F31+F33+F35</f>
        <v>5188831.55</v>
      </c>
      <c r="G24" s="13">
        <f>F24/D24*100</f>
        <v>109.79482413782127</v>
      </c>
      <c r="H24" s="13">
        <f>F24/E24*100</f>
        <v>108.91887288334019</v>
      </c>
    </row>
    <row r="25" spans="2:9" ht="15.75" x14ac:dyDescent="0.25">
      <c r="B25" s="8">
        <v>1</v>
      </c>
      <c r="C25" s="14" t="s">
        <v>15</v>
      </c>
      <c r="D25" s="21">
        <f>D26</f>
        <v>369361.73</v>
      </c>
      <c r="E25" s="21">
        <f>E26</f>
        <v>608264.02</v>
      </c>
      <c r="F25" s="21">
        <f t="shared" ref="F25" si="8">F26</f>
        <v>618103.51</v>
      </c>
      <c r="G25" s="13">
        <f t="shared" ref="G25:G37" si="9">F25/D25*100</f>
        <v>167.34367959560944</v>
      </c>
      <c r="H25" s="13">
        <f t="shared" ref="H25:H38" si="10">F25/E25*100</f>
        <v>101.61763472381615</v>
      </c>
    </row>
    <row r="26" spans="2:9" ht="15.75" x14ac:dyDescent="0.25">
      <c r="B26" s="8"/>
      <c r="C26" s="14" t="s">
        <v>568</v>
      </c>
      <c r="D26" s="21">
        <f>'Rekapitulacija Posebni dio'!D499+'Rekapitulacija Posebni dio'!D544+'Rekapitulacija Posebni dio'!D563+'Rekapitulacija Posebni dio'!D585</f>
        <v>369361.73</v>
      </c>
      <c r="E26" s="21">
        <f>'Rekapitulacija Posebni dio'!E397+'Rekapitulacija Posebni dio'!E403+'Rekapitulacija Posebni dio'!E437+'Rekapitulacija Posebni dio'!E443+'Rekapitulacija Posebni dio'!E499+'Rekapitulacija Posebni dio'!E544+'Rekapitulacija Posebni dio'!E563+'Rekapitulacija Posebni dio'!E585</f>
        <v>608264.02</v>
      </c>
      <c r="F26" s="21">
        <f>'Rekapitulacija Posebni dio'!F397+'Rekapitulacija Posebni dio'!F403+'Rekapitulacija Posebni dio'!F437+'Rekapitulacija Posebni dio'!F443+'Rekapitulacija Posebni dio'!F491+'Rekapitulacija Posebni dio'!F499+'Rekapitulacija Posebni dio'!F544+'Rekapitulacija Posebni dio'!F563+'Rekapitulacija Posebni dio'!F585</f>
        <v>618103.51</v>
      </c>
      <c r="G26" s="13">
        <f t="shared" si="9"/>
        <v>167.34367959560944</v>
      </c>
      <c r="H26" s="13">
        <f t="shared" si="10"/>
        <v>101.61763472381615</v>
      </c>
    </row>
    <row r="27" spans="2:9" ht="15.75" x14ac:dyDescent="0.25">
      <c r="B27" s="8">
        <v>2</v>
      </c>
      <c r="C27" s="14" t="s">
        <v>581</v>
      </c>
      <c r="D27" s="21">
        <f>D28</f>
        <v>163116.33000000002</v>
      </c>
      <c r="E27" s="21">
        <f>E28</f>
        <v>163116.33000000002</v>
      </c>
      <c r="F27" s="21">
        <f t="shared" ref="F27" si="11">F28</f>
        <v>137837.86000000002</v>
      </c>
      <c r="G27" s="13">
        <f t="shared" si="9"/>
        <v>84.502796255899099</v>
      </c>
      <c r="H27" s="13">
        <f t="shared" si="10"/>
        <v>84.502796255899099</v>
      </c>
    </row>
    <row r="28" spans="2:9" ht="15.75" x14ac:dyDescent="0.25">
      <c r="B28" s="8"/>
      <c r="C28" s="14" t="s">
        <v>569</v>
      </c>
      <c r="D28" s="21">
        <f>'Rekapitulacija Posebni dio'!D198+'Rekapitulacija Posebni dio'!D687</f>
        <v>163116.33000000002</v>
      </c>
      <c r="E28" s="21">
        <f>'Rekapitulacija Posebni dio'!E198+'Rekapitulacija Posebni dio'!E687</f>
        <v>163116.33000000002</v>
      </c>
      <c r="F28" s="21">
        <f>'Rekapitulacija Posebni dio'!F198+'Rekapitulacija Posebni dio'!F687</f>
        <v>137837.86000000002</v>
      </c>
      <c r="G28" s="13">
        <f t="shared" si="9"/>
        <v>84.502796255899099</v>
      </c>
      <c r="H28" s="13">
        <f t="shared" si="10"/>
        <v>84.502796255899099</v>
      </c>
    </row>
    <row r="29" spans="2:9" ht="15.75" x14ac:dyDescent="0.25">
      <c r="B29" s="8">
        <v>3</v>
      </c>
      <c r="C29" s="16" t="s">
        <v>582</v>
      </c>
      <c r="D29" s="21">
        <f>D30</f>
        <v>4009442.56</v>
      </c>
      <c r="E29" s="21">
        <f>E30</f>
        <v>3705637.47</v>
      </c>
      <c r="F29" s="21">
        <f t="shared" ref="F29" si="12">F30</f>
        <v>4378780.26</v>
      </c>
      <c r="G29" s="13">
        <f t="shared" si="9"/>
        <v>109.21169699959488</v>
      </c>
      <c r="H29" s="13">
        <f t="shared" si="10"/>
        <v>118.16537088286726</v>
      </c>
    </row>
    <row r="30" spans="2:9" ht="15.75" x14ac:dyDescent="0.25">
      <c r="B30" s="8"/>
      <c r="C30" s="17" t="s">
        <v>576</v>
      </c>
      <c r="D30" s="21">
        <f>'Rekapitulacija Posebni dio'!D7</f>
        <v>4009442.56</v>
      </c>
      <c r="E30" s="21">
        <f>'Rekapitulacija Posebni dio'!E7</f>
        <v>3705637.47</v>
      </c>
      <c r="F30" s="21">
        <f>'Rekapitulacija Posebni dio'!F7</f>
        <v>4378780.26</v>
      </c>
      <c r="G30" s="13">
        <f t="shared" si="9"/>
        <v>109.21169699959488</v>
      </c>
      <c r="H30" s="13">
        <f t="shared" si="10"/>
        <v>118.16537088286726</v>
      </c>
    </row>
    <row r="31" spans="2:9" ht="15.75" x14ac:dyDescent="0.25">
      <c r="B31" s="8">
        <v>4</v>
      </c>
      <c r="C31" s="17" t="s">
        <v>41</v>
      </c>
      <c r="D31" s="21">
        <f>D32</f>
        <v>128013.95</v>
      </c>
      <c r="E31" s="21">
        <f>E32</f>
        <v>230923.83</v>
      </c>
      <c r="F31" s="21">
        <f t="shared" ref="F31" si="13">F32</f>
        <v>53309.919999999998</v>
      </c>
      <c r="G31" s="13">
        <f t="shared" si="9"/>
        <v>41.643836472509442</v>
      </c>
      <c r="H31" s="13">
        <f t="shared" si="10"/>
        <v>23.085499664543065</v>
      </c>
    </row>
    <row r="32" spans="2:9" ht="15.75" x14ac:dyDescent="0.25">
      <c r="B32" s="8"/>
      <c r="C32" s="17" t="s">
        <v>573</v>
      </c>
      <c r="D32" s="21">
        <f>'Rekapitulacija Posebni dio'!D298+'Rekapitulacija Posebni dio'!D610+'Rekapitulacija Posebni dio'!D670+'Rekapitulacija Posebni dio'!D719</f>
        <v>128013.95</v>
      </c>
      <c r="E32" s="21">
        <f>'Rekapitulacija Posebni dio'!E298+'Rekapitulacija Posebni dio'!E610+'Rekapitulacija Posebni dio'!E639+'Rekapitulacija Posebni dio'!E719+'Rekapitulacija Posebni dio'!E765</f>
        <v>230923.83</v>
      </c>
      <c r="F32" s="21">
        <f>'Rekapitulacija Posebni dio'!F298+'Rekapitulacija Posebni dio'!F610+'Rekapitulacija Posebni dio'!F639+'Rekapitulacija Posebni dio'!F719+'Rekapitulacija Posebni dio'!F765</f>
        <v>53309.919999999998</v>
      </c>
      <c r="G32" s="13">
        <f t="shared" si="9"/>
        <v>41.643836472509442</v>
      </c>
      <c r="H32" s="13">
        <f t="shared" si="10"/>
        <v>23.085499664543065</v>
      </c>
    </row>
    <row r="33" spans="2:9" ht="15.75" x14ac:dyDescent="0.25">
      <c r="B33" s="8">
        <v>5</v>
      </c>
      <c r="C33" s="17" t="s">
        <v>580</v>
      </c>
      <c r="D33" s="21">
        <f>D34</f>
        <v>50500</v>
      </c>
      <c r="E33" s="21">
        <f>E34</f>
        <v>50500</v>
      </c>
      <c r="F33" s="21">
        <f t="shared" ref="F33" si="14">F34</f>
        <v>0</v>
      </c>
      <c r="G33" s="13">
        <f t="shared" si="9"/>
        <v>0</v>
      </c>
      <c r="H33" s="13">
        <f t="shared" si="10"/>
        <v>0</v>
      </c>
    </row>
    <row r="34" spans="2:9" ht="15.75" x14ac:dyDescent="0.25">
      <c r="B34" s="8"/>
      <c r="C34" s="17" t="s">
        <v>574</v>
      </c>
      <c r="D34" s="21">
        <f>'Rekapitulacija Posebni dio'!D361+'Rekapitulacija Posebni dio'!D781</f>
        <v>50500</v>
      </c>
      <c r="E34" s="21">
        <f>'Rekapitulacija Posebni dio'!E361+'Rekapitulacija Posebni dio'!E781</f>
        <v>50500</v>
      </c>
      <c r="F34" s="21">
        <f>'Rekapitulacija Posebni dio'!F361</f>
        <v>0</v>
      </c>
      <c r="G34" s="13">
        <f t="shared" si="9"/>
        <v>0</v>
      </c>
      <c r="H34" s="13">
        <f t="shared" si="10"/>
        <v>0</v>
      </c>
    </row>
    <row r="35" spans="2:9" ht="31.5" x14ac:dyDescent="0.25">
      <c r="B35" s="8">
        <v>6</v>
      </c>
      <c r="C35" s="18" t="s">
        <v>579</v>
      </c>
      <c r="D35" s="22">
        <f>D36</f>
        <v>5500</v>
      </c>
      <c r="E35" s="22">
        <f>E36</f>
        <v>5500</v>
      </c>
      <c r="F35" s="22">
        <f t="shared" ref="F35" si="15">F36</f>
        <v>800</v>
      </c>
      <c r="G35" s="13">
        <f t="shared" si="9"/>
        <v>14.545454545454545</v>
      </c>
      <c r="H35" s="13">
        <f t="shared" si="10"/>
        <v>14.545454545454545</v>
      </c>
    </row>
    <row r="36" spans="2:9" ht="31.5" x14ac:dyDescent="0.25">
      <c r="B36" s="8"/>
      <c r="C36" s="23" t="s">
        <v>575</v>
      </c>
      <c r="D36" s="21">
        <f>'Rekapitulacija Posebni dio'!D377</f>
        <v>5500</v>
      </c>
      <c r="E36" s="21">
        <f>'Rekapitulacija Posebni dio'!E377</f>
        <v>5500</v>
      </c>
      <c r="F36" s="21">
        <f>'Rekapitulacija Posebni dio'!F377</f>
        <v>800</v>
      </c>
      <c r="G36" s="13">
        <f t="shared" si="9"/>
        <v>14.545454545454545</v>
      </c>
      <c r="H36" s="13">
        <f t="shared" si="10"/>
        <v>14.545454545454545</v>
      </c>
    </row>
    <row r="37" spans="2:9" ht="15.75" x14ac:dyDescent="0.25">
      <c r="B37" s="8"/>
      <c r="C37" s="11" t="s">
        <v>368</v>
      </c>
      <c r="D37" s="12">
        <f>D25+D27+D29+D31+D33+D35</f>
        <v>4725934.57</v>
      </c>
      <c r="E37" s="12">
        <f t="shared" ref="E37:F37" si="16">E25+E27+E29+E31+E33+E35</f>
        <v>4763941.6500000004</v>
      </c>
      <c r="F37" s="12">
        <f t="shared" si="16"/>
        <v>5188831.55</v>
      </c>
      <c r="G37" s="13">
        <f t="shared" si="9"/>
        <v>109.79482413782127</v>
      </c>
      <c r="H37" s="13">
        <f t="shared" si="10"/>
        <v>108.91887288334019</v>
      </c>
    </row>
    <row r="38" spans="2:9" ht="15.75" x14ac:dyDescent="0.25">
      <c r="B38" s="557"/>
      <c r="C38" s="643" t="s">
        <v>630</v>
      </c>
      <c r="D38" s="7"/>
      <c r="E38" s="641">
        <f>E37-E25</f>
        <v>4155677.6300000004</v>
      </c>
      <c r="F38" s="641">
        <f>F37-F25</f>
        <v>4570728.04</v>
      </c>
      <c r="G38" s="7" t="e">
        <f t="shared" ref="G38" si="17">G37-G23</f>
        <v>#VALUE!</v>
      </c>
      <c r="H38" s="13">
        <f t="shared" si="10"/>
        <v>109.98755069459033</v>
      </c>
      <c r="I38" s="1" t="s">
        <v>631</v>
      </c>
    </row>
    <row r="40" spans="2:9" ht="15.75" customHeight="1" x14ac:dyDescent="0.25">
      <c r="B40" s="8" t="s">
        <v>578</v>
      </c>
      <c r="C40" s="27" t="s">
        <v>583</v>
      </c>
      <c r="D40" s="3" t="s">
        <v>617</v>
      </c>
      <c r="E40" s="29" t="s">
        <v>618</v>
      </c>
      <c r="F40" s="27" t="s">
        <v>584</v>
      </c>
      <c r="G40" s="27" t="s">
        <v>544</v>
      </c>
      <c r="H40" s="27" t="s">
        <v>544</v>
      </c>
    </row>
    <row r="41" spans="2:9" ht="15.75" x14ac:dyDescent="0.25">
      <c r="B41" s="8">
        <v>1</v>
      </c>
      <c r="C41" s="8" t="s">
        <v>88</v>
      </c>
      <c r="D41" s="25">
        <f>'RASHODI-ek.kl.'!E58</f>
        <v>3228791.6399999997</v>
      </c>
      <c r="E41" s="25">
        <f>'RASHODI-ek.kl.'!F58</f>
        <v>3308338.0199999996</v>
      </c>
      <c r="F41" s="25">
        <f>'RASHODI-ek.kl.'!G58</f>
        <v>4115993.2700000005</v>
      </c>
      <c r="G41" s="26">
        <f>F41/D41*100</f>
        <v>127.47782232240917</v>
      </c>
      <c r="H41" s="26">
        <f>F41/E41*100</f>
        <v>124.41271856495489</v>
      </c>
    </row>
    <row r="42" spans="2:9" ht="15.75" x14ac:dyDescent="0.25">
      <c r="B42" s="8">
        <v>2</v>
      </c>
      <c r="C42" s="8" t="s">
        <v>102</v>
      </c>
      <c r="D42" s="25">
        <f>'RASHODI-ek.kl.'!E82</f>
        <v>1058244.53</v>
      </c>
      <c r="E42" s="25">
        <f>'RASHODI-ek.kl.'!F82</f>
        <v>1017152.9400000001</v>
      </c>
      <c r="F42" s="25">
        <f>'RASHODI-ek.kl.'!G82</f>
        <v>795794.3899999999</v>
      </c>
      <c r="G42" s="26">
        <f t="shared" ref="G42:G46" si="18">F42/D42*100</f>
        <v>75.19948059641753</v>
      </c>
      <c r="H42" s="26">
        <f t="shared" ref="H42:H47" si="19">F42/E42*100</f>
        <v>78.237436938441121</v>
      </c>
    </row>
    <row r="43" spans="2:9" ht="15.75" x14ac:dyDescent="0.25">
      <c r="B43" s="8">
        <v>3</v>
      </c>
      <c r="C43" s="8" t="s">
        <v>153</v>
      </c>
      <c r="D43" s="25">
        <f>'RASHODI-ek.kl.'!E179</f>
        <v>9972.52</v>
      </c>
      <c r="E43" s="25">
        <f>'RASHODI-ek.kl.'!F179</f>
        <v>9972.52</v>
      </c>
      <c r="F43" s="25">
        <f>'RASHODI-ek.kl.'!G179</f>
        <v>6392.68</v>
      </c>
      <c r="G43" s="26">
        <f t="shared" si="18"/>
        <v>64.102954920120496</v>
      </c>
      <c r="H43" s="26">
        <f t="shared" si="19"/>
        <v>64.102954920120496</v>
      </c>
    </row>
    <row r="44" spans="2:9" ht="31.5" customHeight="1" x14ac:dyDescent="0.25">
      <c r="B44" s="8">
        <v>4</v>
      </c>
      <c r="C44" s="24" t="s">
        <v>585</v>
      </c>
      <c r="D44" s="25">
        <f>'RASHODI-ek.kl.'!E195</f>
        <v>2000</v>
      </c>
      <c r="E44" s="25">
        <f>'RASHODI-ek.kl.'!F195</f>
        <v>2000</v>
      </c>
      <c r="F44" s="25">
        <f>'RASHODI-ek.kl.'!G195</f>
        <v>0</v>
      </c>
      <c r="G44" s="26">
        <f t="shared" si="18"/>
        <v>0</v>
      </c>
      <c r="H44" s="26">
        <f t="shared" si="19"/>
        <v>0</v>
      </c>
    </row>
    <row r="45" spans="2:9" ht="15.75" x14ac:dyDescent="0.25">
      <c r="B45" s="8">
        <v>5</v>
      </c>
      <c r="C45" s="8" t="s">
        <v>340</v>
      </c>
      <c r="D45" s="25">
        <f>'RASHODI-ek.kl.'!E200</f>
        <v>500</v>
      </c>
      <c r="E45" s="25">
        <f>'RASHODI-ek.kl.'!F200</f>
        <v>500</v>
      </c>
      <c r="F45" s="25">
        <f>'RASHODI-ek.kl.'!G200</f>
        <v>850.30000000000007</v>
      </c>
      <c r="G45" s="26">
        <f t="shared" si="18"/>
        <v>170.06</v>
      </c>
      <c r="H45" s="26">
        <f t="shared" si="19"/>
        <v>170.06</v>
      </c>
    </row>
    <row r="46" spans="2:9" ht="31.5" x14ac:dyDescent="0.25">
      <c r="B46" s="8">
        <v>6</v>
      </c>
      <c r="C46" s="24" t="s">
        <v>174</v>
      </c>
      <c r="D46" s="25">
        <f>'RASHODI-ek.kl.'!E213</f>
        <v>426425.88</v>
      </c>
      <c r="E46" s="25">
        <f>'RASHODI-ek.kl.'!F213</f>
        <v>425978.17000000004</v>
      </c>
      <c r="F46" s="25">
        <f>'RASHODI-ek.kl.'!G213</f>
        <v>269800.90999999997</v>
      </c>
      <c r="G46" s="26">
        <f t="shared" si="18"/>
        <v>63.270294476498471</v>
      </c>
      <c r="H46" s="26">
        <f t="shared" si="19"/>
        <v>63.336792587282098</v>
      </c>
    </row>
    <row r="47" spans="2:9" ht="15.75" x14ac:dyDescent="0.25">
      <c r="B47" s="8"/>
      <c r="C47" s="8" t="s">
        <v>368</v>
      </c>
      <c r="D47" s="25">
        <f>SUM(D41:D46)</f>
        <v>4725934.5699999994</v>
      </c>
      <c r="E47" s="25">
        <f>SUM(E41:E46)</f>
        <v>4763941.6499999994</v>
      </c>
      <c r="F47" s="25">
        <f>SUM(F41:F46)</f>
        <v>5188831.55</v>
      </c>
      <c r="G47" s="26">
        <f>F47/D47*100</f>
        <v>109.79482413782129</v>
      </c>
      <c r="H47" s="26">
        <f t="shared" si="19"/>
        <v>108.91887288334021</v>
      </c>
    </row>
  </sheetData>
  <pageMargins left="0.7" right="0.7" top="0.75" bottom="0.75" header="0.3" footer="0.3"/>
  <pageSetup paperSize="9" scale="9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V18"/>
  <sheetViews>
    <sheetView workbookViewId="0">
      <selection activeCell="F3" sqref="F3"/>
    </sheetView>
  </sheetViews>
  <sheetFormatPr defaultColWidth="8.85546875" defaultRowHeight="15.75" x14ac:dyDescent="0.25"/>
  <cols>
    <col min="1" max="1" width="7" style="406" customWidth="1"/>
    <col min="2" max="2" width="8" style="406" customWidth="1"/>
    <col min="3" max="3" width="5.28515625" style="406" customWidth="1"/>
    <col min="4" max="4" width="60.5703125" style="406" customWidth="1"/>
    <col min="5" max="5" width="16.5703125" style="406" customWidth="1"/>
    <col min="6" max="6" width="11.85546875" style="406" customWidth="1"/>
    <col min="7" max="7" width="13.85546875" style="406" customWidth="1"/>
    <col min="8" max="8" width="16.7109375" style="406" customWidth="1"/>
    <col min="9" max="9" width="9.140625" style="406" bestFit="1" customWidth="1"/>
    <col min="10" max="10" width="9.28515625" style="406" customWidth="1"/>
    <col min="11" max="256" width="8.85546875" style="406"/>
    <col min="257" max="257" width="7" style="406" customWidth="1"/>
    <col min="258" max="258" width="8" style="406" customWidth="1"/>
    <col min="259" max="259" width="5.28515625" style="406" customWidth="1"/>
    <col min="260" max="260" width="60.42578125" style="406" customWidth="1"/>
    <col min="261" max="262" width="0" style="406" hidden="1" customWidth="1"/>
    <col min="263" max="263" width="11.85546875" style="406" customWidth="1"/>
    <col min="264" max="264" width="12" style="406" customWidth="1"/>
    <col min="265" max="265" width="0" style="406" hidden="1" customWidth="1"/>
    <col min="266" max="266" width="9.28515625" style="406" customWidth="1"/>
    <col min="267" max="512" width="8.85546875" style="406"/>
    <col min="513" max="513" width="7" style="406" customWidth="1"/>
    <col min="514" max="514" width="8" style="406" customWidth="1"/>
    <col min="515" max="515" width="5.28515625" style="406" customWidth="1"/>
    <col min="516" max="516" width="60.42578125" style="406" customWidth="1"/>
    <col min="517" max="518" width="0" style="406" hidden="1" customWidth="1"/>
    <col min="519" max="519" width="11.85546875" style="406" customWidth="1"/>
    <col min="520" max="520" width="12" style="406" customWidth="1"/>
    <col min="521" max="521" width="0" style="406" hidden="1" customWidth="1"/>
    <col min="522" max="522" width="9.28515625" style="406" customWidth="1"/>
    <col min="523" max="768" width="8.85546875" style="406"/>
    <col min="769" max="769" width="7" style="406" customWidth="1"/>
    <col min="770" max="770" width="8" style="406" customWidth="1"/>
    <col min="771" max="771" width="5.28515625" style="406" customWidth="1"/>
    <col min="772" max="772" width="60.42578125" style="406" customWidth="1"/>
    <col min="773" max="774" width="0" style="406" hidden="1" customWidth="1"/>
    <col min="775" max="775" width="11.85546875" style="406" customWidth="1"/>
    <col min="776" max="776" width="12" style="406" customWidth="1"/>
    <col min="777" max="777" width="0" style="406" hidden="1" customWidth="1"/>
    <col min="778" max="778" width="9.28515625" style="406" customWidth="1"/>
    <col min="779" max="1024" width="8.85546875" style="406"/>
    <col min="1025" max="1025" width="7" style="406" customWidth="1"/>
    <col min="1026" max="1026" width="8" style="406" customWidth="1"/>
    <col min="1027" max="1027" width="5.28515625" style="406" customWidth="1"/>
    <col min="1028" max="1028" width="60.42578125" style="406" customWidth="1"/>
    <col min="1029" max="1030" width="0" style="406" hidden="1" customWidth="1"/>
    <col min="1031" max="1031" width="11.85546875" style="406" customWidth="1"/>
    <col min="1032" max="1032" width="12" style="406" customWidth="1"/>
    <col min="1033" max="1033" width="0" style="406" hidden="1" customWidth="1"/>
    <col min="1034" max="1034" width="9.28515625" style="406" customWidth="1"/>
    <col min="1035" max="1280" width="8.85546875" style="406"/>
    <col min="1281" max="1281" width="7" style="406" customWidth="1"/>
    <col min="1282" max="1282" width="8" style="406" customWidth="1"/>
    <col min="1283" max="1283" width="5.28515625" style="406" customWidth="1"/>
    <col min="1284" max="1284" width="60.42578125" style="406" customWidth="1"/>
    <col min="1285" max="1286" width="0" style="406" hidden="1" customWidth="1"/>
    <col min="1287" max="1287" width="11.85546875" style="406" customWidth="1"/>
    <col min="1288" max="1288" width="12" style="406" customWidth="1"/>
    <col min="1289" max="1289" width="0" style="406" hidden="1" customWidth="1"/>
    <col min="1290" max="1290" width="9.28515625" style="406" customWidth="1"/>
    <col min="1291" max="1536" width="8.85546875" style="406"/>
    <col min="1537" max="1537" width="7" style="406" customWidth="1"/>
    <col min="1538" max="1538" width="8" style="406" customWidth="1"/>
    <col min="1539" max="1539" width="5.28515625" style="406" customWidth="1"/>
    <col min="1540" max="1540" width="60.42578125" style="406" customWidth="1"/>
    <col min="1541" max="1542" width="0" style="406" hidden="1" customWidth="1"/>
    <col min="1543" max="1543" width="11.85546875" style="406" customWidth="1"/>
    <col min="1544" max="1544" width="12" style="406" customWidth="1"/>
    <col min="1545" max="1545" width="0" style="406" hidden="1" customWidth="1"/>
    <col min="1546" max="1546" width="9.28515625" style="406" customWidth="1"/>
    <col min="1547" max="1792" width="8.85546875" style="406"/>
    <col min="1793" max="1793" width="7" style="406" customWidth="1"/>
    <col min="1794" max="1794" width="8" style="406" customWidth="1"/>
    <col min="1795" max="1795" width="5.28515625" style="406" customWidth="1"/>
    <col min="1796" max="1796" width="60.42578125" style="406" customWidth="1"/>
    <col min="1797" max="1798" width="0" style="406" hidden="1" customWidth="1"/>
    <col min="1799" max="1799" width="11.85546875" style="406" customWidth="1"/>
    <col min="1800" max="1800" width="12" style="406" customWidth="1"/>
    <col min="1801" max="1801" width="0" style="406" hidden="1" customWidth="1"/>
    <col min="1802" max="1802" width="9.28515625" style="406" customWidth="1"/>
    <col min="1803" max="2048" width="8.85546875" style="406"/>
    <col min="2049" max="2049" width="7" style="406" customWidth="1"/>
    <col min="2050" max="2050" width="8" style="406" customWidth="1"/>
    <col min="2051" max="2051" width="5.28515625" style="406" customWidth="1"/>
    <col min="2052" max="2052" width="60.42578125" style="406" customWidth="1"/>
    <col min="2053" max="2054" width="0" style="406" hidden="1" customWidth="1"/>
    <col min="2055" max="2055" width="11.85546875" style="406" customWidth="1"/>
    <col min="2056" max="2056" width="12" style="406" customWidth="1"/>
    <col min="2057" max="2057" width="0" style="406" hidden="1" customWidth="1"/>
    <col min="2058" max="2058" width="9.28515625" style="406" customWidth="1"/>
    <col min="2059" max="2304" width="8.85546875" style="406"/>
    <col min="2305" max="2305" width="7" style="406" customWidth="1"/>
    <col min="2306" max="2306" width="8" style="406" customWidth="1"/>
    <col min="2307" max="2307" width="5.28515625" style="406" customWidth="1"/>
    <col min="2308" max="2308" width="60.42578125" style="406" customWidth="1"/>
    <col min="2309" max="2310" width="0" style="406" hidden="1" customWidth="1"/>
    <col min="2311" max="2311" width="11.85546875" style="406" customWidth="1"/>
    <col min="2312" max="2312" width="12" style="406" customWidth="1"/>
    <col min="2313" max="2313" width="0" style="406" hidden="1" customWidth="1"/>
    <col min="2314" max="2314" width="9.28515625" style="406" customWidth="1"/>
    <col min="2315" max="2560" width="8.85546875" style="406"/>
    <col min="2561" max="2561" width="7" style="406" customWidth="1"/>
    <col min="2562" max="2562" width="8" style="406" customWidth="1"/>
    <col min="2563" max="2563" width="5.28515625" style="406" customWidth="1"/>
    <col min="2564" max="2564" width="60.42578125" style="406" customWidth="1"/>
    <col min="2565" max="2566" width="0" style="406" hidden="1" customWidth="1"/>
    <col min="2567" max="2567" width="11.85546875" style="406" customWidth="1"/>
    <col min="2568" max="2568" width="12" style="406" customWidth="1"/>
    <col min="2569" max="2569" width="0" style="406" hidden="1" customWidth="1"/>
    <col min="2570" max="2570" width="9.28515625" style="406" customWidth="1"/>
    <col min="2571" max="2816" width="8.85546875" style="406"/>
    <col min="2817" max="2817" width="7" style="406" customWidth="1"/>
    <col min="2818" max="2818" width="8" style="406" customWidth="1"/>
    <col min="2819" max="2819" width="5.28515625" style="406" customWidth="1"/>
    <col min="2820" max="2820" width="60.42578125" style="406" customWidth="1"/>
    <col min="2821" max="2822" width="0" style="406" hidden="1" customWidth="1"/>
    <col min="2823" max="2823" width="11.85546875" style="406" customWidth="1"/>
    <col min="2824" max="2824" width="12" style="406" customWidth="1"/>
    <col min="2825" max="2825" width="0" style="406" hidden="1" customWidth="1"/>
    <col min="2826" max="2826" width="9.28515625" style="406" customWidth="1"/>
    <col min="2827" max="3072" width="8.85546875" style="406"/>
    <col min="3073" max="3073" width="7" style="406" customWidth="1"/>
    <col min="3074" max="3074" width="8" style="406" customWidth="1"/>
    <col min="3075" max="3075" width="5.28515625" style="406" customWidth="1"/>
    <col min="3076" max="3076" width="60.42578125" style="406" customWidth="1"/>
    <col min="3077" max="3078" width="0" style="406" hidden="1" customWidth="1"/>
    <col min="3079" max="3079" width="11.85546875" style="406" customWidth="1"/>
    <col min="3080" max="3080" width="12" style="406" customWidth="1"/>
    <col min="3081" max="3081" width="0" style="406" hidden="1" customWidth="1"/>
    <col min="3082" max="3082" width="9.28515625" style="406" customWidth="1"/>
    <col min="3083" max="3328" width="8.85546875" style="406"/>
    <col min="3329" max="3329" width="7" style="406" customWidth="1"/>
    <col min="3330" max="3330" width="8" style="406" customWidth="1"/>
    <col min="3331" max="3331" width="5.28515625" style="406" customWidth="1"/>
    <col min="3332" max="3332" width="60.42578125" style="406" customWidth="1"/>
    <col min="3333" max="3334" width="0" style="406" hidden="1" customWidth="1"/>
    <col min="3335" max="3335" width="11.85546875" style="406" customWidth="1"/>
    <col min="3336" max="3336" width="12" style="406" customWidth="1"/>
    <col min="3337" max="3337" width="0" style="406" hidden="1" customWidth="1"/>
    <col min="3338" max="3338" width="9.28515625" style="406" customWidth="1"/>
    <col min="3339" max="3584" width="8.85546875" style="406"/>
    <col min="3585" max="3585" width="7" style="406" customWidth="1"/>
    <col min="3586" max="3586" width="8" style="406" customWidth="1"/>
    <col min="3587" max="3587" width="5.28515625" style="406" customWidth="1"/>
    <col min="3588" max="3588" width="60.42578125" style="406" customWidth="1"/>
    <col min="3589" max="3590" width="0" style="406" hidden="1" customWidth="1"/>
    <col min="3591" max="3591" width="11.85546875" style="406" customWidth="1"/>
    <col min="3592" max="3592" width="12" style="406" customWidth="1"/>
    <col min="3593" max="3593" width="0" style="406" hidden="1" customWidth="1"/>
    <col min="3594" max="3594" width="9.28515625" style="406" customWidth="1"/>
    <col min="3595" max="3840" width="8.85546875" style="406"/>
    <col min="3841" max="3841" width="7" style="406" customWidth="1"/>
    <col min="3842" max="3842" width="8" style="406" customWidth="1"/>
    <col min="3843" max="3843" width="5.28515625" style="406" customWidth="1"/>
    <col min="3844" max="3844" width="60.42578125" style="406" customWidth="1"/>
    <col min="3845" max="3846" width="0" style="406" hidden="1" customWidth="1"/>
    <col min="3847" max="3847" width="11.85546875" style="406" customWidth="1"/>
    <col min="3848" max="3848" width="12" style="406" customWidth="1"/>
    <col min="3849" max="3849" width="0" style="406" hidden="1" customWidth="1"/>
    <col min="3850" max="3850" width="9.28515625" style="406" customWidth="1"/>
    <col min="3851" max="4096" width="8.85546875" style="406"/>
    <col min="4097" max="4097" width="7" style="406" customWidth="1"/>
    <col min="4098" max="4098" width="8" style="406" customWidth="1"/>
    <col min="4099" max="4099" width="5.28515625" style="406" customWidth="1"/>
    <col min="4100" max="4100" width="60.42578125" style="406" customWidth="1"/>
    <col min="4101" max="4102" width="0" style="406" hidden="1" customWidth="1"/>
    <col min="4103" max="4103" width="11.85546875" style="406" customWidth="1"/>
    <col min="4104" max="4104" width="12" style="406" customWidth="1"/>
    <col min="4105" max="4105" width="0" style="406" hidden="1" customWidth="1"/>
    <col min="4106" max="4106" width="9.28515625" style="406" customWidth="1"/>
    <col min="4107" max="4352" width="8.85546875" style="406"/>
    <col min="4353" max="4353" width="7" style="406" customWidth="1"/>
    <col min="4354" max="4354" width="8" style="406" customWidth="1"/>
    <col min="4355" max="4355" width="5.28515625" style="406" customWidth="1"/>
    <col min="4356" max="4356" width="60.42578125" style="406" customWidth="1"/>
    <col min="4357" max="4358" width="0" style="406" hidden="1" customWidth="1"/>
    <col min="4359" max="4359" width="11.85546875" style="406" customWidth="1"/>
    <col min="4360" max="4360" width="12" style="406" customWidth="1"/>
    <col min="4361" max="4361" width="0" style="406" hidden="1" customWidth="1"/>
    <col min="4362" max="4362" width="9.28515625" style="406" customWidth="1"/>
    <col min="4363" max="4608" width="8.85546875" style="406"/>
    <col min="4609" max="4609" width="7" style="406" customWidth="1"/>
    <col min="4610" max="4610" width="8" style="406" customWidth="1"/>
    <col min="4611" max="4611" width="5.28515625" style="406" customWidth="1"/>
    <col min="4612" max="4612" width="60.42578125" style="406" customWidth="1"/>
    <col min="4613" max="4614" width="0" style="406" hidden="1" customWidth="1"/>
    <col min="4615" max="4615" width="11.85546875" style="406" customWidth="1"/>
    <col min="4616" max="4616" width="12" style="406" customWidth="1"/>
    <col min="4617" max="4617" width="0" style="406" hidden="1" customWidth="1"/>
    <col min="4618" max="4618" width="9.28515625" style="406" customWidth="1"/>
    <col min="4619" max="4864" width="8.85546875" style="406"/>
    <col min="4865" max="4865" width="7" style="406" customWidth="1"/>
    <col min="4866" max="4866" width="8" style="406" customWidth="1"/>
    <col min="4867" max="4867" width="5.28515625" style="406" customWidth="1"/>
    <col min="4868" max="4868" width="60.42578125" style="406" customWidth="1"/>
    <col min="4869" max="4870" width="0" style="406" hidden="1" customWidth="1"/>
    <col min="4871" max="4871" width="11.85546875" style="406" customWidth="1"/>
    <col min="4872" max="4872" width="12" style="406" customWidth="1"/>
    <col min="4873" max="4873" width="0" style="406" hidden="1" customWidth="1"/>
    <col min="4874" max="4874" width="9.28515625" style="406" customWidth="1"/>
    <col min="4875" max="5120" width="8.85546875" style="406"/>
    <col min="5121" max="5121" width="7" style="406" customWidth="1"/>
    <col min="5122" max="5122" width="8" style="406" customWidth="1"/>
    <col min="5123" max="5123" width="5.28515625" style="406" customWidth="1"/>
    <col min="5124" max="5124" width="60.42578125" style="406" customWidth="1"/>
    <col min="5125" max="5126" width="0" style="406" hidden="1" customWidth="1"/>
    <col min="5127" max="5127" width="11.85546875" style="406" customWidth="1"/>
    <col min="5128" max="5128" width="12" style="406" customWidth="1"/>
    <col min="5129" max="5129" width="0" style="406" hidden="1" customWidth="1"/>
    <col min="5130" max="5130" width="9.28515625" style="406" customWidth="1"/>
    <col min="5131" max="5376" width="8.85546875" style="406"/>
    <col min="5377" max="5377" width="7" style="406" customWidth="1"/>
    <col min="5378" max="5378" width="8" style="406" customWidth="1"/>
    <col min="5379" max="5379" width="5.28515625" style="406" customWidth="1"/>
    <col min="5380" max="5380" width="60.42578125" style="406" customWidth="1"/>
    <col min="5381" max="5382" width="0" style="406" hidden="1" customWidth="1"/>
    <col min="5383" max="5383" width="11.85546875" style="406" customWidth="1"/>
    <col min="5384" max="5384" width="12" style="406" customWidth="1"/>
    <col min="5385" max="5385" width="0" style="406" hidden="1" customWidth="1"/>
    <col min="5386" max="5386" width="9.28515625" style="406" customWidth="1"/>
    <col min="5387" max="5632" width="8.85546875" style="406"/>
    <col min="5633" max="5633" width="7" style="406" customWidth="1"/>
    <col min="5634" max="5634" width="8" style="406" customWidth="1"/>
    <col min="5635" max="5635" width="5.28515625" style="406" customWidth="1"/>
    <col min="5636" max="5636" width="60.42578125" style="406" customWidth="1"/>
    <col min="5637" max="5638" width="0" style="406" hidden="1" customWidth="1"/>
    <col min="5639" max="5639" width="11.85546875" style="406" customWidth="1"/>
    <col min="5640" max="5640" width="12" style="406" customWidth="1"/>
    <col min="5641" max="5641" width="0" style="406" hidden="1" customWidth="1"/>
    <col min="5642" max="5642" width="9.28515625" style="406" customWidth="1"/>
    <col min="5643" max="5888" width="8.85546875" style="406"/>
    <col min="5889" max="5889" width="7" style="406" customWidth="1"/>
    <col min="5890" max="5890" width="8" style="406" customWidth="1"/>
    <col min="5891" max="5891" width="5.28515625" style="406" customWidth="1"/>
    <col min="5892" max="5892" width="60.42578125" style="406" customWidth="1"/>
    <col min="5893" max="5894" width="0" style="406" hidden="1" customWidth="1"/>
    <col min="5895" max="5895" width="11.85546875" style="406" customWidth="1"/>
    <col min="5896" max="5896" width="12" style="406" customWidth="1"/>
    <col min="5897" max="5897" width="0" style="406" hidden="1" customWidth="1"/>
    <col min="5898" max="5898" width="9.28515625" style="406" customWidth="1"/>
    <col min="5899" max="6144" width="8.85546875" style="406"/>
    <col min="6145" max="6145" width="7" style="406" customWidth="1"/>
    <col min="6146" max="6146" width="8" style="406" customWidth="1"/>
    <col min="6147" max="6147" width="5.28515625" style="406" customWidth="1"/>
    <col min="6148" max="6148" width="60.42578125" style="406" customWidth="1"/>
    <col min="6149" max="6150" width="0" style="406" hidden="1" customWidth="1"/>
    <col min="6151" max="6151" width="11.85546875" style="406" customWidth="1"/>
    <col min="6152" max="6152" width="12" style="406" customWidth="1"/>
    <col min="6153" max="6153" width="0" style="406" hidden="1" customWidth="1"/>
    <col min="6154" max="6154" width="9.28515625" style="406" customWidth="1"/>
    <col min="6155" max="6400" width="8.85546875" style="406"/>
    <col min="6401" max="6401" width="7" style="406" customWidth="1"/>
    <col min="6402" max="6402" width="8" style="406" customWidth="1"/>
    <col min="6403" max="6403" width="5.28515625" style="406" customWidth="1"/>
    <col min="6404" max="6404" width="60.42578125" style="406" customWidth="1"/>
    <col min="6405" max="6406" width="0" style="406" hidden="1" customWidth="1"/>
    <col min="6407" max="6407" width="11.85546875" style="406" customWidth="1"/>
    <col min="6408" max="6408" width="12" style="406" customWidth="1"/>
    <col min="6409" max="6409" width="0" style="406" hidden="1" customWidth="1"/>
    <col min="6410" max="6410" width="9.28515625" style="406" customWidth="1"/>
    <col min="6411" max="6656" width="8.85546875" style="406"/>
    <col min="6657" max="6657" width="7" style="406" customWidth="1"/>
    <col min="6658" max="6658" width="8" style="406" customWidth="1"/>
    <col min="6659" max="6659" width="5.28515625" style="406" customWidth="1"/>
    <col min="6660" max="6660" width="60.42578125" style="406" customWidth="1"/>
    <col min="6661" max="6662" width="0" style="406" hidden="1" customWidth="1"/>
    <col min="6663" max="6663" width="11.85546875" style="406" customWidth="1"/>
    <col min="6664" max="6664" width="12" style="406" customWidth="1"/>
    <col min="6665" max="6665" width="0" style="406" hidden="1" customWidth="1"/>
    <col min="6666" max="6666" width="9.28515625" style="406" customWidth="1"/>
    <col min="6667" max="6912" width="8.85546875" style="406"/>
    <col min="6913" max="6913" width="7" style="406" customWidth="1"/>
    <col min="6914" max="6914" width="8" style="406" customWidth="1"/>
    <col min="6915" max="6915" width="5.28515625" style="406" customWidth="1"/>
    <col min="6916" max="6916" width="60.42578125" style="406" customWidth="1"/>
    <col min="6917" max="6918" width="0" style="406" hidden="1" customWidth="1"/>
    <col min="6919" max="6919" width="11.85546875" style="406" customWidth="1"/>
    <col min="6920" max="6920" width="12" style="406" customWidth="1"/>
    <col min="6921" max="6921" width="0" style="406" hidden="1" customWidth="1"/>
    <col min="6922" max="6922" width="9.28515625" style="406" customWidth="1"/>
    <col min="6923" max="7168" width="8.85546875" style="406"/>
    <col min="7169" max="7169" width="7" style="406" customWidth="1"/>
    <col min="7170" max="7170" width="8" style="406" customWidth="1"/>
    <col min="7171" max="7171" width="5.28515625" style="406" customWidth="1"/>
    <col min="7172" max="7172" width="60.42578125" style="406" customWidth="1"/>
    <col min="7173" max="7174" width="0" style="406" hidden="1" customWidth="1"/>
    <col min="7175" max="7175" width="11.85546875" style="406" customWidth="1"/>
    <col min="7176" max="7176" width="12" style="406" customWidth="1"/>
    <col min="7177" max="7177" width="0" style="406" hidden="1" customWidth="1"/>
    <col min="7178" max="7178" width="9.28515625" style="406" customWidth="1"/>
    <col min="7179" max="7424" width="8.85546875" style="406"/>
    <col min="7425" max="7425" width="7" style="406" customWidth="1"/>
    <col min="7426" max="7426" width="8" style="406" customWidth="1"/>
    <col min="7427" max="7427" width="5.28515625" style="406" customWidth="1"/>
    <col min="7428" max="7428" width="60.42578125" style="406" customWidth="1"/>
    <col min="7429" max="7430" width="0" style="406" hidden="1" customWidth="1"/>
    <col min="7431" max="7431" width="11.85546875" style="406" customWidth="1"/>
    <col min="7432" max="7432" width="12" style="406" customWidth="1"/>
    <col min="7433" max="7433" width="0" style="406" hidden="1" customWidth="1"/>
    <col min="7434" max="7434" width="9.28515625" style="406" customWidth="1"/>
    <col min="7435" max="7680" width="8.85546875" style="406"/>
    <col min="7681" max="7681" width="7" style="406" customWidth="1"/>
    <col min="7682" max="7682" width="8" style="406" customWidth="1"/>
    <col min="7683" max="7683" width="5.28515625" style="406" customWidth="1"/>
    <col min="7684" max="7684" width="60.42578125" style="406" customWidth="1"/>
    <col min="7685" max="7686" width="0" style="406" hidden="1" customWidth="1"/>
    <col min="7687" max="7687" width="11.85546875" style="406" customWidth="1"/>
    <col min="7688" max="7688" width="12" style="406" customWidth="1"/>
    <col min="7689" max="7689" width="0" style="406" hidden="1" customWidth="1"/>
    <col min="7690" max="7690" width="9.28515625" style="406" customWidth="1"/>
    <col min="7691" max="7936" width="8.85546875" style="406"/>
    <col min="7937" max="7937" width="7" style="406" customWidth="1"/>
    <col min="7938" max="7938" width="8" style="406" customWidth="1"/>
    <col min="7939" max="7939" width="5.28515625" style="406" customWidth="1"/>
    <col min="7940" max="7940" width="60.42578125" style="406" customWidth="1"/>
    <col min="7941" max="7942" width="0" style="406" hidden="1" customWidth="1"/>
    <col min="7943" max="7943" width="11.85546875" style="406" customWidth="1"/>
    <col min="7944" max="7944" width="12" style="406" customWidth="1"/>
    <col min="7945" max="7945" width="0" style="406" hidden="1" customWidth="1"/>
    <col min="7946" max="7946" width="9.28515625" style="406" customWidth="1"/>
    <col min="7947" max="8192" width="8.85546875" style="406"/>
    <col min="8193" max="8193" width="7" style="406" customWidth="1"/>
    <col min="8194" max="8194" width="8" style="406" customWidth="1"/>
    <col min="8195" max="8195" width="5.28515625" style="406" customWidth="1"/>
    <col min="8196" max="8196" width="60.42578125" style="406" customWidth="1"/>
    <col min="8197" max="8198" width="0" style="406" hidden="1" customWidth="1"/>
    <col min="8199" max="8199" width="11.85546875" style="406" customWidth="1"/>
    <col min="8200" max="8200" width="12" style="406" customWidth="1"/>
    <col min="8201" max="8201" width="0" style="406" hidden="1" customWidth="1"/>
    <col min="8202" max="8202" width="9.28515625" style="406" customWidth="1"/>
    <col min="8203" max="8448" width="8.85546875" style="406"/>
    <col min="8449" max="8449" width="7" style="406" customWidth="1"/>
    <col min="8450" max="8450" width="8" style="406" customWidth="1"/>
    <col min="8451" max="8451" width="5.28515625" style="406" customWidth="1"/>
    <col min="8452" max="8452" width="60.42578125" style="406" customWidth="1"/>
    <col min="8453" max="8454" width="0" style="406" hidden="1" customWidth="1"/>
    <col min="8455" max="8455" width="11.85546875" style="406" customWidth="1"/>
    <col min="8456" max="8456" width="12" style="406" customWidth="1"/>
    <col min="8457" max="8457" width="0" style="406" hidden="1" customWidth="1"/>
    <col min="8458" max="8458" width="9.28515625" style="406" customWidth="1"/>
    <col min="8459" max="8704" width="8.85546875" style="406"/>
    <col min="8705" max="8705" width="7" style="406" customWidth="1"/>
    <col min="8706" max="8706" width="8" style="406" customWidth="1"/>
    <col min="8707" max="8707" width="5.28515625" style="406" customWidth="1"/>
    <col min="8708" max="8708" width="60.42578125" style="406" customWidth="1"/>
    <col min="8709" max="8710" width="0" style="406" hidden="1" customWidth="1"/>
    <col min="8711" max="8711" width="11.85546875" style="406" customWidth="1"/>
    <col min="8712" max="8712" width="12" style="406" customWidth="1"/>
    <col min="8713" max="8713" width="0" style="406" hidden="1" customWidth="1"/>
    <col min="8714" max="8714" width="9.28515625" style="406" customWidth="1"/>
    <col min="8715" max="8960" width="8.85546875" style="406"/>
    <col min="8961" max="8961" width="7" style="406" customWidth="1"/>
    <col min="8962" max="8962" width="8" style="406" customWidth="1"/>
    <col min="8963" max="8963" width="5.28515625" style="406" customWidth="1"/>
    <col min="8964" max="8964" width="60.42578125" style="406" customWidth="1"/>
    <col min="8965" max="8966" width="0" style="406" hidden="1" customWidth="1"/>
    <col min="8967" max="8967" width="11.85546875" style="406" customWidth="1"/>
    <col min="8968" max="8968" width="12" style="406" customWidth="1"/>
    <col min="8969" max="8969" width="0" style="406" hidden="1" customWidth="1"/>
    <col min="8970" max="8970" width="9.28515625" style="406" customWidth="1"/>
    <col min="8971" max="9216" width="8.85546875" style="406"/>
    <col min="9217" max="9217" width="7" style="406" customWidth="1"/>
    <col min="9218" max="9218" width="8" style="406" customWidth="1"/>
    <col min="9219" max="9219" width="5.28515625" style="406" customWidth="1"/>
    <col min="9220" max="9220" width="60.42578125" style="406" customWidth="1"/>
    <col min="9221" max="9222" width="0" style="406" hidden="1" customWidth="1"/>
    <col min="9223" max="9223" width="11.85546875" style="406" customWidth="1"/>
    <col min="9224" max="9224" width="12" style="406" customWidth="1"/>
    <col min="9225" max="9225" width="0" style="406" hidden="1" customWidth="1"/>
    <col min="9226" max="9226" width="9.28515625" style="406" customWidth="1"/>
    <col min="9227" max="9472" width="8.85546875" style="406"/>
    <col min="9473" max="9473" width="7" style="406" customWidth="1"/>
    <col min="9474" max="9474" width="8" style="406" customWidth="1"/>
    <col min="9475" max="9475" width="5.28515625" style="406" customWidth="1"/>
    <col min="9476" max="9476" width="60.42578125" style="406" customWidth="1"/>
    <col min="9477" max="9478" width="0" style="406" hidden="1" customWidth="1"/>
    <col min="9479" max="9479" width="11.85546875" style="406" customWidth="1"/>
    <col min="9480" max="9480" width="12" style="406" customWidth="1"/>
    <col min="9481" max="9481" width="0" style="406" hidden="1" customWidth="1"/>
    <col min="9482" max="9482" width="9.28515625" style="406" customWidth="1"/>
    <col min="9483" max="9728" width="8.85546875" style="406"/>
    <col min="9729" max="9729" width="7" style="406" customWidth="1"/>
    <col min="9730" max="9730" width="8" style="406" customWidth="1"/>
    <col min="9731" max="9731" width="5.28515625" style="406" customWidth="1"/>
    <col min="9732" max="9732" width="60.42578125" style="406" customWidth="1"/>
    <col min="9733" max="9734" width="0" style="406" hidden="1" customWidth="1"/>
    <col min="9735" max="9735" width="11.85546875" style="406" customWidth="1"/>
    <col min="9736" max="9736" width="12" style="406" customWidth="1"/>
    <col min="9737" max="9737" width="0" style="406" hidden="1" customWidth="1"/>
    <col min="9738" max="9738" width="9.28515625" style="406" customWidth="1"/>
    <col min="9739" max="9984" width="8.85546875" style="406"/>
    <col min="9985" max="9985" width="7" style="406" customWidth="1"/>
    <col min="9986" max="9986" width="8" style="406" customWidth="1"/>
    <col min="9987" max="9987" width="5.28515625" style="406" customWidth="1"/>
    <col min="9988" max="9988" width="60.42578125" style="406" customWidth="1"/>
    <col min="9989" max="9990" width="0" style="406" hidden="1" customWidth="1"/>
    <col min="9991" max="9991" width="11.85546875" style="406" customWidth="1"/>
    <col min="9992" max="9992" width="12" style="406" customWidth="1"/>
    <col min="9993" max="9993" width="0" style="406" hidden="1" customWidth="1"/>
    <col min="9994" max="9994" width="9.28515625" style="406" customWidth="1"/>
    <col min="9995" max="10240" width="8.85546875" style="406"/>
    <col min="10241" max="10241" width="7" style="406" customWidth="1"/>
    <col min="10242" max="10242" width="8" style="406" customWidth="1"/>
    <col min="10243" max="10243" width="5.28515625" style="406" customWidth="1"/>
    <col min="10244" max="10244" width="60.42578125" style="406" customWidth="1"/>
    <col min="10245" max="10246" width="0" style="406" hidden="1" customWidth="1"/>
    <col min="10247" max="10247" width="11.85546875" style="406" customWidth="1"/>
    <col min="10248" max="10248" width="12" style="406" customWidth="1"/>
    <col min="10249" max="10249" width="0" style="406" hidden="1" customWidth="1"/>
    <col min="10250" max="10250" width="9.28515625" style="406" customWidth="1"/>
    <col min="10251" max="10496" width="8.85546875" style="406"/>
    <col min="10497" max="10497" width="7" style="406" customWidth="1"/>
    <col min="10498" max="10498" width="8" style="406" customWidth="1"/>
    <col min="10499" max="10499" width="5.28515625" style="406" customWidth="1"/>
    <col min="10500" max="10500" width="60.42578125" style="406" customWidth="1"/>
    <col min="10501" max="10502" width="0" style="406" hidden="1" customWidth="1"/>
    <col min="10503" max="10503" width="11.85546875" style="406" customWidth="1"/>
    <col min="10504" max="10504" width="12" style="406" customWidth="1"/>
    <col min="10505" max="10505" width="0" style="406" hidden="1" customWidth="1"/>
    <col min="10506" max="10506" width="9.28515625" style="406" customWidth="1"/>
    <col min="10507" max="10752" width="8.85546875" style="406"/>
    <col min="10753" max="10753" width="7" style="406" customWidth="1"/>
    <col min="10754" max="10754" width="8" style="406" customWidth="1"/>
    <col min="10755" max="10755" width="5.28515625" style="406" customWidth="1"/>
    <col min="10756" max="10756" width="60.42578125" style="406" customWidth="1"/>
    <col min="10757" max="10758" width="0" style="406" hidden="1" customWidth="1"/>
    <col min="10759" max="10759" width="11.85546875" style="406" customWidth="1"/>
    <col min="10760" max="10760" width="12" style="406" customWidth="1"/>
    <col min="10761" max="10761" width="0" style="406" hidden="1" customWidth="1"/>
    <col min="10762" max="10762" width="9.28515625" style="406" customWidth="1"/>
    <col min="10763" max="11008" width="8.85546875" style="406"/>
    <col min="11009" max="11009" width="7" style="406" customWidth="1"/>
    <col min="11010" max="11010" width="8" style="406" customWidth="1"/>
    <col min="11011" max="11011" width="5.28515625" style="406" customWidth="1"/>
    <col min="11012" max="11012" width="60.42578125" style="406" customWidth="1"/>
    <col min="11013" max="11014" width="0" style="406" hidden="1" customWidth="1"/>
    <col min="11015" max="11015" width="11.85546875" style="406" customWidth="1"/>
    <col min="11016" max="11016" width="12" style="406" customWidth="1"/>
    <col min="11017" max="11017" width="0" style="406" hidden="1" customWidth="1"/>
    <col min="11018" max="11018" width="9.28515625" style="406" customWidth="1"/>
    <col min="11019" max="11264" width="8.85546875" style="406"/>
    <col min="11265" max="11265" width="7" style="406" customWidth="1"/>
    <col min="11266" max="11266" width="8" style="406" customWidth="1"/>
    <col min="11267" max="11267" width="5.28515625" style="406" customWidth="1"/>
    <col min="11268" max="11268" width="60.42578125" style="406" customWidth="1"/>
    <col min="11269" max="11270" width="0" style="406" hidden="1" customWidth="1"/>
    <col min="11271" max="11271" width="11.85546875" style="406" customWidth="1"/>
    <col min="11272" max="11272" width="12" style="406" customWidth="1"/>
    <col min="11273" max="11273" width="0" style="406" hidden="1" customWidth="1"/>
    <col min="11274" max="11274" width="9.28515625" style="406" customWidth="1"/>
    <col min="11275" max="11520" width="8.85546875" style="406"/>
    <col min="11521" max="11521" width="7" style="406" customWidth="1"/>
    <col min="11522" max="11522" width="8" style="406" customWidth="1"/>
    <col min="11523" max="11523" width="5.28515625" style="406" customWidth="1"/>
    <col min="11524" max="11524" width="60.42578125" style="406" customWidth="1"/>
    <col min="11525" max="11526" width="0" style="406" hidden="1" customWidth="1"/>
    <col min="11527" max="11527" width="11.85546875" style="406" customWidth="1"/>
    <col min="11528" max="11528" width="12" style="406" customWidth="1"/>
    <col min="11529" max="11529" width="0" style="406" hidden="1" customWidth="1"/>
    <col min="11530" max="11530" width="9.28515625" style="406" customWidth="1"/>
    <col min="11531" max="11776" width="8.85546875" style="406"/>
    <col min="11777" max="11777" width="7" style="406" customWidth="1"/>
    <col min="11778" max="11778" width="8" style="406" customWidth="1"/>
    <col min="11779" max="11779" width="5.28515625" style="406" customWidth="1"/>
    <col min="11780" max="11780" width="60.42578125" style="406" customWidth="1"/>
    <col min="11781" max="11782" width="0" style="406" hidden="1" customWidth="1"/>
    <col min="11783" max="11783" width="11.85546875" style="406" customWidth="1"/>
    <col min="11784" max="11784" width="12" style="406" customWidth="1"/>
    <col min="11785" max="11785" width="0" style="406" hidden="1" customWidth="1"/>
    <col min="11786" max="11786" width="9.28515625" style="406" customWidth="1"/>
    <col min="11787" max="12032" width="8.85546875" style="406"/>
    <col min="12033" max="12033" width="7" style="406" customWidth="1"/>
    <col min="12034" max="12034" width="8" style="406" customWidth="1"/>
    <col min="12035" max="12035" width="5.28515625" style="406" customWidth="1"/>
    <col min="12036" max="12036" width="60.42578125" style="406" customWidth="1"/>
    <col min="12037" max="12038" width="0" style="406" hidden="1" customWidth="1"/>
    <col min="12039" max="12039" width="11.85546875" style="406" customWidth="1"/>
    <col min="12040" max="12040" width="12" style="406" customWidth="1"/>
    <col min="12041" max="12041" width="0" style="406" hidden="1" customWidth="1"/>
    <col min="12042" max="12042" width="9.28515625" style="406" customWidth="1"/>
    <col min="12043" max="12288" width="8.85546875" style="406"/>
    <col min="12289" max="12289" width="7" style="406" customWidth="1"/>
    <col min="12290" max="12290" width="8" style="406" customWidth="1"/>
    <col min="12291" max="12291" width="5.28515625" style="406" customWidth="1"/>
    <col min="12292" max="12292" width="60.42578125" style="406" customWidth="1"/>
    <col min="12293" max="12294" width="0" style="406" hidden="1" customWidth="1"/>
    <col min="12295" max="12295" width="11.85546875" style="406" customWidth="1"/>
    <col min="12296" max="12296" width="12" style="406" customWidth="1"/>
    <col min="12297" max="12297" width="0" style="406" hidden="1" customWidth="1"/>
    <col min="12298" max="12298" width="9.28515625" style="406" customWidth="1"/>
    <col min="12299" max="12544" width="8.85546875" style="406"/>
    <col min="12545" max="12545" width="7" style="406" customWidth="1"/>
    <col min="12546" max="12546" width="8" style="406" customWidth="1"/>
    <col min="12547" max="12547" width="5.28515625" style="406" customWidth="1"/>
    <col min="12548" max="12548" width="60.42578125" style="406" customWidth="1"/>
    <col min="12549" max="12550" width="0" style="406" hidden="1" customWidth="1"/>
    <col min="12551" max="12551" width="11.85546875" style="406" customWidth="1"/>
    <col min="12552" max="12552" width="12" style="406" customWidth="1"/>
    <col min="12553" max="12553" width="0" style="406" hidden="1" customWidth="1"/>
    <col min="12554" max="12554" width="9.28515625" style="406" customWidth="1"/>
    <col min="12555" max="12800" width="8.85546875" style="406"/>
    <col min="12801" max="12801" width="7" style="406" customWidth="1"/>
    <col min="12802" max="12802" width="8" style="406" customWidth="1"/>
    <col min="12803" max="12803" width="5.28515625" style="406" customWidth="1"/>
    <col min="12804" max="12804" width="60.42578125" style="406" customWidth="1"/>
    <col min="12805" max="12806" width="0" style="406" hidden="1" customWidth="1"/>
    <col min="12807" max="12807" width="11.85546875" style="406" customWidth="1"/>
    <col min="12808" max="12808" width="12" style="406" customWidth="1"/>
    <col min="12809" max="12809" width="0" style="406" hidden="1" customWidth="1"/>
    <col min="12810" max="12810" width="9.28515625" style="406" customWidth="1"/>
    <col min="12811" max="13056" width="8.85546875" style="406"/>
    <col min="13057" max="13057" width="7" style="406" customWidth="1"/>
    <col min="13058" max="13058" width="8" style="406" customWidth="1"/>
    <col min="13059" max="13059" width="5.28515625" style="406" customWidth="1"/>
    <col min="13060" max="13060" width="60.42578125" style="406" customWidth="1"/>
    <col min="13061" max="13062" width="0" style="406" hidden="1" customWidth="1"/>
    <col min="13063" max="13063" width="11.85546875" style="406" customWidth="1"/>
    <col min="13064" max="13064" width="12" style="406" customWidth="1"/>
    <col min="13065" max="13065" width="0" style="406" hidden="1" customWidth="1"/>
    <col min="13066" max="13066" width="9.28515625" style="406" customWidth="1"/>
    <col min="13067" max="13312" width="8.85546875" style="406"/>
    <col min="13313" max="13313" width="7" style="406" customWidth="1"/>
    <col min="13314" max="13314" width="8" style="406" customWidth="1"/>
    <col min="13315" max="13315" width="5.28515625" style="406" customWidth="1"/>
    <col min="13316" max="13316" width="60.42578125" style="406" customWidth="1"/>
    <col min="13317" max="13318" width="0" style="406" hidden="1" customWidth="1"/>
    <col min="13319" max="13319" width="11.85546875" style="406" customWidth="1"/>
    <col min="13320" max="13320" width="12" style="406" customWidth="1"/>
    <col min="13321" max="13321" width="0" style="406" hidden="1" customWidth="1"/>
    <col min="13322" max="13322" width="9.28515625" style="406" customWidth="1"/>
    <col min="13323" max="13568" width="8.85546875" style="406"/>
    <col min="13569" max="13569" width="7" style="406" customWidth="1"/>
    <col min="13570" max="13570" width="8" style="406" customWidth="1"/>
    <col min="13571" max="13571" width="5.28515625" style="406" customWidth="1"/>
    <col min="13572" max="13572" width="60.42578125" style="406" customWidth="1"/>
    <col min="13573" max="13574" width="0" style="406" hidden="1" customWidth="1"/>
    <col min="13575" max="13575" width="11.85546875" style="406" customWidth="1"/>
    <col min="13576" max="13576" width="12" style="406" customWidth="1"/>
    <col min="13577" max="13577" width="0" style="406" hidden="1" customWidth="1"/>
    <col min="13578" max="13578" width="9.28515625" style="406" customWidth="1"/>
    <col min="13579" max="13824" width="8.85546875" style="406"/>
    <col min="13825" max="13825" width="7" style="406" customWidth="1"/>
    <col min="13826" max="13826" width="8" style="406" customWidth="1"/>
    <col min="13827" max="13827" width="5.28515625" style="406" customWidth="1"/>
    <col min="13828" max="13828" width="60.42578125" style="406" customWidth="1"/>
    <col min="13829" max="13830" width="0" style="406" hidden="1" customWidth="1"/>
    <col min="13831" max="13831" width="11.85546875" style="406" customWidth="1"/>
    <col min="13832" max="13832" width="12" style="406" customWidth="1"/>
    <col min="13833" max="13833" width="0" style="406" hidden="1" customWidth="1"/>
    <col min="13834" max="13834" width="9.28515625" style="406" customWidth="1"/>
    <col min="13835" max="14080" width="8.85546875" style="406"/>
    <col min="14081" max="14081" width="7" style="406" customWidth="1"/>
    <col min="14082" max="14082" width="8" style="406" customWidth="1"/>
    <col min="14083" max="14083" width="5.28515625" style="406" customWidth="1"/>
    <col min="14084" max="14084" width="60.42578125" style="406" customWidth="1"/>
    <col min="14085" max="14086" width="0" style="406" hidden="1" customWidth="1"/>
    <col min="14087" max="14087" width="11.85546875" style="406" customWidth="1"/>
    <col min="14088" max="14088" width="12" style="406" customWidth="1"/>
    <col min="14089" max="14089" width="0" style="406" hidden="1" customWidth="1"/>
    <col min="14090" max="14090" width="9.28515625" style="406" customWidth="1"/>
    <col min="14091" max="14336" width="8.85546875" style="406"/>
    <col min="14337" max="14337" width="7" style="406" customWidth="1"/>
    <col min="14338" max="14338" width="8" style="406" customWidth="1"/>
    <col min="14339" max="14339" width="5.28515625" style="406" customWidth="1"/>
    <col min="14340" max="14340" width="60.42578125" style="406" customWidth="1"/>
    <col min="14341" max="14342" width="0" style="406" hidden="1" customWidth="1"/>
    <col min="14343" max="14343" width="11.85546875" style="406" customWidth="1"/>
    <col min="14344" max="14344" width="12" style="406" customWidth="1"/>
    <col min="14345" max="14345" width="0" style="406" hidden="1" customWidth="1"/>
    <col min="14346" max="14346" width="9.28515625" style="406" customWidth="1"/>
    <col min="14347" max="14592" width="8.85546875" style="406"/>
    <col min="14593" max="14593" width="7" style="406" customWidth="1"/>
    <col min="14594" max="14594" width="8" style="406" customWidth="1"/>
    <col min="14595" max="14595" width="5.28515625" style="406" customWidth="1"/>
    <col min="14596" max="14596" width="60.42578125" style="406" customWidth="1"/>
    <col min="14597" max="14598" width="0" style="406" hidden="1" customWidth="1"/>
    <col min="14599" max="14599" width="11.85546875" style="406" customWidth="1"/>
    <col min="14600" max="14600" width="12" style="406" customWidth="1"/>
    <col min="14601" max="14601" width="0" style="406" hidden="1" customWidth="1"/>
    <col min="14602" max="14602" width="9.28515625" style="406" customWidth="1"/>
    <col min="14603" max="14848" width="8.85546875" style="406"/>
    <col min="14849" max="14849" width="7" style="406" customWidth="1"/>
    <col min="14850" max="14850" width="8" style="406" customWidth="1"/>
    <col min="14851" max="14851" width="5.28515625" style="406" customWidth="1"/>
    <col min="14852" max="14852" width="60.42578125" style="406" customWidth="1"/>
    <col min="14853" max="14854" width="0" style="406" hidden="1" customWidth="1"/>
    <col min="14855" max="14855" width="11.85546875" style="406" customWidth="1"/>
    <col min="14856" max="14856" width="12" style="406" customWidth="1"/>
    <col min="14857" max="14857" width="0" style="406" hidden="1" customWidth="1"/>
    <col min="14858" max="14858" width="9.28515625" style="406" customWidth="1"/>
    <col min="14859" max="15104" width="8.85546875" style="406"/>
    <col min="15105" max="15105" width="7" style="406" customWidth="1"/>
    <col min="15106" max="15106" width="8" style="406" customWidth="1"/>
    <col min="15107" max="15107" width="5.28515625" style="406" customWidth="1"/>
    <col min="15108" max="15108" width="60.42578125" style="406" customWidth="1"/>
    <col min="15109" max="15110" width="0" style="406" hidden="1" customWidth="1"/>
    <col min="15111" max="15111" width="11.85546875" style="406" customWidth="1"/>
    <col min="15112" max="15112" width="12" style="406" customWidth="1"/>
    <col min="15113" max="15113" width="0" style="406" hidden="1" customWidth="1"/>
    <col min="15114" max="15114" width="9.28515625" style="406" customWidth="1"/>
    <col min="15115" max="15360" width="8.85546875" style="406"/>
    <col min="15361" max="15361" width="7" style="406" customWidth="1"/>
    <col min="15362" max="15362" width="8" style="406" customWidth="1"/>
    <col min="15363" max="15363" width="5.28515625" style="406" customWidth="1"/>
    <col min="15364" max="15364" width="60.42578125" style="406" customWidth="1"/>
    <col min="15365" max="15366" width="0" style="406" hidden="1" customWidth="1"/>
    <col min="15367" max="15367" width="11.85546875" style="406" customWidth="1"/>
    <col min="15368" max="15368" width="12" style="406" customWidth="1"/>
    <col min="15369" max="15369" width="0" style="406" hidden="1" customWidth="1"/>
    <col min="15370" max="15370" width="9.28515625" style="406" customWidth="1"/>
    <col min="15371" max="15616" width="8.85546875" style="406"/>
    <col min="15617" max="15617" width="7" style="406" customWidth="1"/>
    <col min="15618" max="15618" width="8" style="406" customWidth="1"/>
    <col min="15619" max="15619" width="5.28515625" style="406" customWidth="1"/>
    <col min="15620" max="15620" width="60.42578125" style="406" customWidth="1"/>
    <col min="15621" max="15622" width="0" style="406" hidden="1" customWidth="1"/>
    <col min="15623" max="15623" width="11.85546875" style="406" customWidth="1"/>
    <col min="15624" max="15624" width="12" style="406" customWidth="1"/>
    <col min="15625" max="15625" width="0" style="406" hidden="1" customWidth="1"/>
    <col min="15626" max="15626" width="9.28515625" style="406" customWidth="1"/>
    <col min="15627" max="15872" width="8.85546875" style="406"/>
    <col min="15873" max="15873" width="7" style="406" customWidth="1"/>
    <col min="15874" max="15874" width="8" style="406" customWidth="1"/>
    <col min="15875" max="15875" width="5.28515625" style="406" customWidth="1"/>
    <col min="15876" max="15876" width="60.42578125" style="406" customWidth="1"/>
    <col min="15877" max="15878" width="0" style="406" hidden="1" customWidth="1"/>
    <col min="15879" max="15879" width="11.85546875" style="406" customWidth="1"/>
    <col min="15880" max="15880" width="12" style="406" customWidth="1"/>
    <col min="15881" max="15881" width="0" style="406" hidden="1" customWidth="1"/>
    <col min="15882" max="15882" width="9.28515625" style="406" customWidth="1"/>
    <col min="15883" max="16128" width="8.85546875" style="406"/>
    <col min="16129" max="16129" width="7" style="406" customWidth="1"/>
    <col min="16130" max="16130" width="8" style="406" customWidth="1"/>
    <col min="16131" max="16131" width="5.28515625" style="406" customWidth="1"/>
    <col min="16132" max="16132" width="60.42578125" style="406" customWidth="1"/>
    <col min="16133" max="16134" width="0" style="406" hidden="1" customWidth="1"/>
    <col min="16135" max="16135" width="11.85546875" style="406" customWidth="1"/>
    <col min="16136" max="16136" width="12" style="406" customWidth="1"/>
    <col min="16137" max="16137" width="0" style="406" hidden="1" customWidth="1"/>
    <col min="16138" max="16138" width="9.28515625" style="406" customWidth="1"/>
    <col min="16139" max="16384" width="8.85546875" style="406"/>
  </cols>
  <sheetData>
    <row r="1" spans="1:256" x14ac:dyDescent="0.25">
      <c r="A1" s="818"/>
      <c r="B1" s="818"/>
      <c r="C1" s="818"/>
      <c r="D1" s="818"/>
      <c r="E1" s="818"/>
      <c r="F1" s="818"/>
      <c r="G1" s="818"/>
      <c r="H1" s="818"/>
      <c r="I1" s="818"/>
      <c r="J1" s="818"/>
    </row>
    <row r="2" spans="1:256" x14ac:dyDescent="0.25">
      <c r="A2" s="823" t="s">
        <v>0</v>
      </c>
      <c r="B2" s="823"/>
      <c r="C2" s="823"/>
      <c r="D2" s="823"/>
      <c r="E2" s="823"/>
      <c r="F2" s="823"/>
      <c r="G2" s="823"/>
      <c r="H2" s="823"/>
      <c r="I2" s="823"/>
      <c r="J2" s="823"/>
    </row>
    <row r="3" spans="1:256" x14ac:dyDescent="0.25">
      <c r="A3" s="441"/>
      <c r="B3" s="441"/>
      <c r="C3" s="441"/>
      <c r="D3" s="441"/>
      <c r="E3" s="441"/>
      <c r="F3" s="441"/>
      <c r="G3" s="441"/>
      <c r="H3" s="442"/>
      <c r="I3" s="442"/>
    </row>
    <row r="4" spans="1:256" x14ac:dyDescent="0.25">
      <c r="A4" s="823" t="s">
        <v>549</v>
      </c>
      <c r="B4" s="823"/>
      <c r="C4" s="823"/>
      <c r="D4" s="823"/>
      <c r="E4" s="823"/>
      <c r="F4" s="823"/>
      <c r="G4" s="823"/>
      <c r="H4" s="823"/>
      <c r="I4" s="823"/>
      <c r="J4" s="823"/>
    </row>
    <row r="5" spans="1:256" x14ac:dyDescent="0.25">
      <c r="A5" s="441"/>
      <c r="B5" s="443"/>
      <c r="C5" s="443"/>
      <c r="D5" s="443"/>
      <c r="E5" s="443"/>
      <c r="F5" s="443"/>
      <c r="G5" s="443"/>
      <c r="H5" s="443"/>
      <c r="I5" s="443"/>
    </row>
    <row r="6" spans="1:256" x14ac:dyDescent="0.25">
      <c r="A6" s="441"/>
      <c r="B6" s="443"/>
      <c r="C6" s="443"/>
      <c r="D6" s="443"/>
      <c r="E6" s="443"/>
      <c r="F6" s="443"/>
      <c r="G6" s="444"/>
      <c r="H6" s="443"/>
      <c r="I6" s="443"/>
    </row>
    <row r="7" spans="1:256" s="412" customFormat="1" ht="47.25" x14ac:dyDescent="0.25">
      <c r="A7" s="445" t="s">
        <v>3</v>
      </c>
      <c r="B7" s="445" t="s">
        <v>550</v>
      </c>
      <c r="C7" s="445" t="s">
        <v>5</v>
      </c>
      <c r="D7" s="445" t="s">
        <v>6</v>
      </c>
      <c r="E7" s="264" t="s">
        <v>622</v>
      </c>
      <c r="F7" s="408" t="s">
        <v>603</v>
      </c>
      <c r="G7" s="409" t="s">
        <v>604</v>
      </c>
      <c r="H7" s="410" t="s">
        <v>623</v>
      </c>
      <c r="I7" s="446" t="s">
        <v>544</v>
      </c>
      <c r="J7" s="447" t="s">
        <v>544</v>
      </c>
    </row>
    <row r="8" spans="1:256" s="451" customFormat="1" ht="12" x14ac:dyDescent="0.2">
      <c r="A8" s="824">
        <v>1</v>
      </c>
      <c r="B8" s="824"/>
      <c r="C8" s="824"/>
      <c r="D8" s="824"/>
      <c r="E8" s="448">
        <v>2</v>
      </c>
      <c r="F8" s="448">
        <v>3</v>
      </c>
      <c r="G8" s="448">
        <v>4</v>
      </c>
      <c r="H8" s="448">
        <v>5</v>
      </c>
      <c r="I8" s="449" t="s">
        <v>551</v>
      </c>
      <c r="J8" s="450" t="s">
        <v>548</v>
      </c>
    </row>
    <row r="9" spans="1:256" x14ac:dyDescent="0.25">
      <c r="A9" s="452">
        <v>8</v>
      </c>
      <c r="B9" s="453"/>
      <c r="C9" s="453"/>
      <c r="D9" s="453" t="s">
        <v>552</v>
      </c>
      <c r="E9" s="454">
        <f>SUM(E10)</f>
        <v>0</v>
      </c>
      <c r="F9" s="454">
        <f>SUM(F10)</f>
        <v>0</v>
      </c>
      <c r="G9" s="454">
        <f>SUM(G10)</f>
        <v>0</v>
      </c>
      <c r="H9" s="455">
        <f>SUM(H10)</f>
        <v>0</v>
      </c>
      <c r="I9" s="456">
        <v>0</v>
      </c>
      <c r="J9" s="456">
        <v>0</v>
      </c>
    </row>
    <row r="10" spans="1:256" s="467" customFormat="1" x14ac:dyDescent="0.25">
      <c r="A10" s="457"/>
      <c r="B10" s="458">
        <v>84</v>
      </c>
      <c r="C10" s="459"/>
      <c r="D10" s="460" t="s">
        <v>553</v>
      </c>
      <c r="E10" s="461">
        <f>SUM(E11)</f>
        <v>0</v>
      </c>
      <c r="F10" s="461">
        <v>0</v>
      </c>
      <c r="G10" s="461">
        <f>SUM(G11)</f>
        <v>0</v>
      </c>
      <c r="H10" s="462">
        <f>SUM(H11)</f>
        <v>0</v>
      </c>
      <c r="I10" s="456">
        <v>0</v>
      </c>
      <c r="J10" s="456">
        <v>0</v>
      </c>
      <c r="K10" s="463"/>
      <c r="L10" s="464"/>
      <c r="M10" s="465"/>
      <c r="N10" s="466"/>
      <c r="O10" s="466"/>
      <c r="P10" s="466"/>
      <c r="Q10" s="466"/>
      <c r="R10" s="466"/>
      <c r="S10" s="464"/>
      <c r="T10" s="463"/>
      <c r="U10" s="464"/>
      <c r="V10" s="465"/>
      <c r="W10" s="466"/>
      <c r="X10" s="466"/>
      <c r="Y10" s="466"/>
      <c r="Z10" s="466"/>
      <c r="AA10" s="466"/>
      <c r="AB10" s="464"/>
      <c r="AC10" s="463"/>
      <c r="AD10" s="464"/>
      <c r="AE10" s="465"/>
      <c r="AF10" s="466"/>
      <c r="AG10" s="466"/>
      <c r="AH10" s="466"/>
      <c r="AI10" s="466"/>
      <c r="AJ10" s="466"/>
      <c r="AK10" s="464"/>
      <c r="AL10" s="463"/>
      <c r="AM10" s="464"/>
      <c r="AN10" s="465"/>
      <c r="AO10" s="466"/>
      <c r="AP10" s="466"/>
      <c r="AQ10" s="466"/>
      <c r="AR10" s="466"/>
      <c r="AS10" s="466"/>
      <c r="AT10" s="464"/>
      <c r="AU10" s="463"/>
      <c r="AV10" s="464"/>
      <c r="AW10" s="465"/>
      <c r="AX10" s="466"/>
      <c r="AY10" s="466"/>
      <c r="AZ10" s="466"/>
      <c r="BA10" s="466"/>
      <c r="BB10" s="466"/>
      <c r="BC10" s="464"/>
      <c r="BD10" s="463"/>
      <c r="BE10" s="464"/>
      <c r="BF10" s="465"/>
      <c r="BG10" s="466"/>
      <c r="BH10" s="466"/>
      <c r="BI10" s="466"/>
      <c r="BJ10" s="466"/>
      <c r="BK10" s="466"/>
      <c r="BL10" s="464"/>
      <c r="BM10" s="463"/>
      <c r="BN10" s="464"/>
      <c r="BO10" s="465"/>
      <c r="BP10" s="466"/>
      <c r="BQ10" s="466"/>
      <c r="BR10" s="466"/>
      <c r="BS10" s="466"/>
      <c r="BT10" s="466"/>
      <c r="BU10" s="464"/>
      <c r="BV10" s="463"/>
      <c r="BW10" s="464"/>
      <c r="BX10" s="465"/>
      <c r="BY10" s="466"/>
      <c r="BZ10" s="466"/>
      <c r="CA10" s="466"/>
      <c r="CB10" s="466"/>
      <c r="CC10" s="466"/>
      <c r="CD10" s="464"/>
      <c r="CE10" s="463"/>
      <c r="CF10" s="464"/>
      <c r="CG10" s="465"/>
      <c r="CH10" s="466"/>
      <c r="CI10" s="466"/>
      <c r="CJ10" s="466"/>
      <c r="CK10" s="466"/>
      <c r="CL10" s="466"/>
      <c r="CM10" s="464"/>
      <c r="CN10" s="463"/>
      <c r="CO10" s="464"/>
      <c r="CP10" s="465"/>
      <c r="CQ10" s="466"/>
      <c r="CR10" s="466"/>
      <c r="CS10" s="466"/>
      <c r="CT10" s="466"/>
      <c r="CU10" s="466"/>
      <c r="CV10" s="464"/>
      <c r="CW10" s="463"/>
      <c r="CX10" s="464"/>
      <c r="CY10" s="465"/>
      <c r="CZ10" s="466"/>
      <c r="DA10" s="466"/>
      <c r="DB10" s="466"/>
      <c r="DC10" s="466"/>
      <c r="DD10" s="466"/>
      <c r="DE10" s="464"/>
      <c r="DF10" s="463"/>
      <c r="DG10" s="464"/>
      <c r="DH10" s="465"/>
      <c r="DI10" s="466"/>
      <c r="DJ10" s="466"/>
      <c r="DK10" s="466"/>
      <c r="DL10" s="466"/>
      <c r="DM10" s="466"/>
      <c r="DN10" s="464"/>
      <c r="DO10" s="463"/>
      <c r="DP10" s="464"/>
      <c r="DQ10" s="465"/>
      <c r="DR10" s="466"/>
      <c r="DS10" s="466"/>
      <c r="DT10" s="466"/>
      <c r="DU10" s="466"/>
      <c r="DV10" s="466"/>
      <c r="DW10" s="464"/>
      <c r="DX10" s="463"/>
      <c r="DY10" s="464"/>
      <c r="DZ10" s="465"/>
      <c r="EA10" s="466"/>
      <c r="EB10" s="466"/>
      <c r="EC10" s="466"/>
      <c r="ED10" s="466"/>
      <c r="EE10" s="466"/>
      <c r="EF10" s="464"/>
      <c r="EG10" s="463"/>
      <c r="EH10" s="464"/>
      <c r="EI10" s="465"/>
      <c r="EJ10" s="466"/>
      <c r="EK10" s="466"/>
      <c r="EL10" s="466"/>
      <c r="EM10" s="466"/>
      <c r="EN10" s="466"/>
      <c r="EO10" s="464"/>
      <c r="EP10" s="463"/>
      <c r="EQ10" s="464"/>
      <c r="ER10" s="465"/>
      <c r="ES10" s="466"/>
      <c r="ET10" s="466"/>
      <c r="EU10" s="466"/>
      <c r="EV10" s="466"/>
      <c r="EW10" s="466"/>
      <c r="EX10" s="464"/>
      <c r="EY10" s="463"/>
      <c r="EZ10" s="464"/>
      <c r="FA10" s="465"/>
      <c r="FB10" s="466"/>
      <c r="FC10" s="466"/>
      <c r="FD10" s="466"/>
      <c r="FE10" s="466"/>
      <c r="FF10" s="466"/>
      <c r="FG10" s="464"/>
      <c r="FH10" s="463"/>
      <c r="FI10" s="464"/>
      <c r="FJ10" s="465"/>
      <c r="FK10" s="466"/>
      <c r="FL10" s="466"/>
      <c r="FM10" s="466"/>
      <c r="FN10" s="466"/>
      <c r="FO10" s="466"/>
      <c r="FP10" s="464"/>
      <c r="FQ10" s="463"/>
      <c r="FR10" s="464"/>
      <c r="FS10" s="465"/>
      <c r="FT10" s="466"/>
      <c r="FU10" s="466"/>
      <c r="FV10" s="466"/>
      <c r="FW10" s="466"/>
      <c r="FX10" s="466"/>
      <c r="FY10" s="464"/>
      <c r="FZ10" s="463"/>
      <c r="GA10" s="464"/>
      <c r="GB10" s="465"/>
      <c r="GC10" s="466"/>
      <c r="GD10" s="466"/>
      <c r="GE10" s="466"/>
      <c r="GF10" s="466"/>
      <c r="GG10" s="466"/>
      <c r="GH10" s="464"/>
      <c r="GI10" s="463"/>
      <c r="GJ10" s="464"/>
      <c r="GK10" s="465"/>
      <c r="GL10" s="466"/>
      <c r="GM10" s="466"/>
      <c r="GN10" s="466"/>
      <c r="GO10" s="466"/>
      <c r="GP10" s="466"/>
      <c r="GQ10" s="464"/>
      <c r="GR10" s="463"/>
      <c r="GS10" s="464"/>
      <c r="GT10" s="465"/>
      <c r="GU10" s="466"/>
      <c r="GV10" s="466"/>
      <c r="GW10" s="466"/>
      <c r="GX10" s="466"/>
      <c r="GY10" s="466"/>
      <c r="GZ10" s="464"/>
      <c r="HA10" s="463"/>
      <c r="HB10" s="464"/>
      <c r="HC10" s="465"/>
      <c r="HD10" s="466"/>
      <c r="HE10" s="466"/>
      <c r="HF10" s="466"/>
      <c r="HG10" s="466"/>
      <c r="HH10" s="466"/>
      <c r="HI10" s="464"/>
      <c r="HJ10" s="463"/>
      <c r="HK10" s="464"/>
      <c r="HL10" s="465"/>
      <c r="HM10" s="466"/>
      <c r="HN10" s="466"/>
      <c r="HO10" s="466"/>
      <c r="HP10" s="466"/>
      <c r="HQ10" s="466"/>
      <c r="HR10" s="464"/>
      <c r="HS10" s="463"/>
      <c r="HT10" s="464"/>
      <c r="HU10" s="465"/>
      <c r="HV10" s="466"/>
      <c r="HW10" s="466"/>
      <c r="HX10" s="466"/>
      <c r="HY10" s="466"/>
      <c r="HZ10" s="466"/>
      <c r="IA10" s="464"/>
      <c r="IB10" s="463"/>
      <c r="IC10" s="464"/>
      <c r="ID10" s="465"/>
      <c r="IE10" s="466"/>
      <c r="IF10" s="466"/>
      <c r="IG10" s="466"/>
      <c r="IH10" s="466"/>
      <c r="II10" s="466"/>
      <c r="IJ10" s="464"/>
      <c r="IK10" s="463"/>
      <c r="IL10" s="464"/>
      <c r="IM10" s="465"/>
      <c r="IN10" s="466"/>
      <c r="IO10" s="466"/>
      <c r="IP10" s="466"/>
      <c r="IQ10" s="466"/>
      <c r="IR10" s="466"/>
      <c r="IS10" s="464"/>
      <c r="IT10" s="463"/>
      <c r="IU10" s="464"/>
      <c r="IV10" s="465"/>
    </row>
    <row r="11" spans="1:256" s="467" customFormat="1" ht="31.5" x14ac:dyDescent="0.25">
      <c r="A11" s="457"/>
      <c r="B11" s="468" t="s">
        <v>554</v>
      </c>
      <c r="C11" s="469"/>
      <c r="D11" s="470" t="s">
        <v>555</v>
      </c>
      <c r="E11" s="471">
        <v>0</v>
      </c>
      <c r="F11" s="471">
        <v>0</v>
      </c>
      <c r="G11" s="471">
        <f>SUM(G12)</f>
        <v>0</v>
      </c>
      <c r="H11" s="472">
        <f>SUM(H12)</f>
        <v>0</v>
      </c>
      <c r="I11" s="456">
        <v>0</v>
      </c>
      <c r="J11" s="456">
        <v>0</v>
      </c>
      <c r="K11" s="463"/>
      <c r="L11" s="464"/>
      <c r="M11" s="465"/>
      <c r="N11" s="466"/>
      <c r="O11" s="466"/>
      <c r="P11" s="466"/>
      <c r="Q11" s="466"/>
      <c r="R11" s="466"/>
      <c r="S11" s="464"/>
      <c r="T11" s="463"/>
      <c r="U11" s="464"/>
      <c r="V11" s="465"/>
      <c r="W11" s="466"/>
      <c r="X11" s="466"/>
      <c r="Y11" s="466"/>
      <c r="Z11" s="466"/>
      <c r="AA11" s="466"/>
      <c r="AB11" s="464"/>
      <c r="AC11" s="463"/>
      <c r="AD11" s="464"/>
      <c r="AE11" s="465"/>
      <c r="AF11" s="466"/>
      <c r="AG11" s="466"/>
      <c r="AH11" s="466"/>
      <c r="AI11" s="466"/>
      <c r="AJ11" s="466"/>
      <c r="AK11" s="464"/>
      <c r="AL11" s="463"/>
      <c r="AM11" s="464"/>
      <c r="AN11" s="465"/>
      <c r="AO11" s="466"/>
      <c r="AP11" s="466"/>
      <c r="AQ11" s="466"/>
      <c r="AR11" s="466"/>
      <c r="AS11" s="466"/>
      <c r="AT11" s="464"/>
      <c r="AU11" s="463"/>
      <c r="AV11" s="464"/>
      <c r="AW11" s="465"/>
      <c r="AX11" s="466"/>
      <c r="AY11" s="466"/>
      <c r="AZ11" s="466"/>
      <c r="BA11" s="466"/>
      <c r="BB11" s="466"/>
      <c r="BC11" s="464"/>
      <c r="BD11" s="463"/>
      <c r="BE11" s="464"/>
      <c r="BF11" s="465"/>
      <c r="BG11" s="466"/>
      <c r="BH11" s="466"/>
      <c r="BI11" s="466"/>
      <c r="BJ11" s="466"/>
      <c r="BK11" s="466"/>
      <c r="BL11" s="464"/>
      <c r="BM11" s="463"/>
      <c r="BN11" s="464"/>
      <c r="BO11" s="465"/>
      <c r="BP11" s="466"/>
      <c r="BQ11" s="466"/>
      <c r="BR11" s="466"/>
      <c r="BS11" s="466"/>
      <c r="BT11" s="466"/>
      <c r="BU11" s="464"/>
      <c r="BV11" s="463"/>
      <c r="BW11" s="464"/>
      <c r="BX11" s="465"/>
      <c r="BY11" s="466"/>
      <c r="BZ11" s="466"/>
      <c r="CA11" s="466"/>
      <c r="CB11" s="466"/>
      <c r="CC11" s="466"/>
      <c r="CD11" s="464"/>
      <c r="CE11" s="463"/>
      <c r="CF11" s="464"/>
      <c r="CG11" s="465"/>
      <c r="CH11" s="466"/>
      <c r="CI11" s="466"/>
      <c r="CJ11" s="466"/>
      <c r="CK11" s="466"/>
      <c r="CL11" s="466"/>
      <c r="CM11" s="464"/>
      <c r="CN11" s="463"/>
      <c r="CO11" s="464"/>
      <c r="CP11" s="465"/>
      <c r="CQ11" s="466"/>
      <c r="CR11" s="466"/>
      <c r="CS11" s="466"/>
      <c r="CT11" s="466"/>
      <c r="CU11" s="466"/>
      <c r="CV11" s="464"/>
      <c r="CW11" s="463"/>
      <c r="CX11" s="464"/>
      <c r="CY11" s="465"/>
      <c r="CZ11" s="466"/>
      <c r="DA11" s="466"/>
      <c r="DB11" s="466"/>
      <c r="DC11" s="466"/>
      <c r="DD11" s="466"/>
      <c r="DE11" s="464"/>
      <c r="DF11" s="463"/>
      <c r="DG11" s="464"/>
      <c r="DH11" s="465"/>
      <c r="DI11" s="466"/>
      <c r="DJ11" s="466"/>
      <c r="DK11" s="466"/>
      <c r="DL11" s="466"/>
      <c r="DM11" s="466"/>
      <c r="DN11" s="464"/>
      <c r="DO11" s="463"/>
      <c r="DP11" s="464"/>
      <c r="DQ11" s="465"/>
      <c r="DR11" s="466"/>
      <c r="DS11" s="466"/>
      <c r="DT11" s="466"/>
      <c r="DU11" s="466"/>
      <c r="DV11" s="466"/>
      <c r="DW11" s="464"/>
      <c r="DX11" s="463"/>
      <c r="DY11" s="464"/>
      <c r="DZ11" s="465"/>
      <c r="EA11" s="466"/>
      <c r="EB11" s="466"/>
      <c r="EC11" s="466"/>
      <c r="ED11" s="466"/>
      <c r="EE11" s="466"/>
      <c r="EF11" s="464"/>
      <c r="EG11" s="463"/>
      <c r="EH11" s="464"/>
      <c r="EI11" s="465"/>
      <c r="EJ11" s="466"/>
      <c r="EK11" s="466"/>
      <c r="EL11" s="466"/>
      <c r="EM11" s="466"/>
      <c r="EN11" s="466"/>
      <c r="EO11" s="464"/>
      <c r="EP11" s="463"/>
      <c r="EQ11" s="464"/>
      <c r="ER11" s="465"/>
      <c r="ES11" s="466"/>
      <c r="ET11" s="466"/>
      <c r="EU11" s="466"/>
      <c r="EV11" s="466"/>
      <c r="EW11" s="466"/>
      <c r="EX11" s="464"/>
      <c r="EY11" s="463"/>
      <c r="EZ11" s="464"/>
      <c r="FA11" s="465"/>
      <c r="FB11" s="466"/>
      <c r="FC11" s="466"/>
      <c r="FD11" s="466"/>
      <c r="FE11" s="466"/>
      <c r="FF11" s="466"/>
      <c r="FG11" s="464"/>
      <c r="FH11" s="463"/>
      <c r="FI11" s="464"/>
      <c r="FJ11" s="465"/>
      <c r="FK11" s="466"/>
      <c r="FL11" s="466"/>
      <c r="FM11" s="466"/>
      <c r="FN11" s="466"/>
      <c r="FO11" s="466"/>
      <c r="FP11" s="464"/>
      <c r="FQ11" s="463"/>
      <c r="FR11" s="464"/>
      <c r="FS11" s="465"/>
      <c r="FT11" s="466"/>
      <c r="FU11" s="466"/>
      <c r="FV11" s="466"/>
      <c r="FW11" s="466"/>
      <c r="FX11" s="466"/>
      <c r="FY11" s="464"/>
      <c r="FZ11" s="463"/>
      <c r="GA11" s="464"/>
      <c r="GB11" s="465"/>
      <c r="GC11" s="466"/>
      <c r="GD11" s="466"/>
      <c r="GE11" s="466"/>
      <c r="GF11" s="466"/>
      <c r="GG11" s="466"/>
      <c r="GH11" s="464"/>
      <c r="GI11" s="463"/>
      <c r="GJ11" s="464"/>
      <c r="GK11" s="465"/>
      <c r="GL11" s="466"/>
      <c r="GM11" s="466"/>
      <c r="GN11" s="466"/>
      <c r="GO11" s="466"/>
      <c r="GP11" s="466"/>
      <c r="GQ11" s="464"/>
      <c r="GR11" s="463"/>
      <c r="GS11" s="464"/>
      <c r="GT11" s="465"/>
      <c r="GU11" s="466"/>
      <c r="GV11" s="466"/>
      <c r="GW11" s="466"/>
      <c r="GX11" s="466"/>
      <c r="GY11" s="466"/>
      <c r="GZ11" s="464"/>
      <c r="HA11" s="463"/>
      <c r="HB11" s="464"/>
      <c r="HC11" s="465"/>
      <c r="HD11" s="466"/>
      <c r="HE11" s="466"/>
      <c r="HF11" s="466"/>
      <c r="HG11" s="466"/>
      <c r="HH11" s="466"/>
      <c r="HI11" s="464"/>
      <c r="HJ11" s="463"/>
      <c r="HK11" s="464"/>
      <c r="HL11" s="465"/>
      <c r="HM11" s="466"/>
      <c r="HN11" s="466"/>
      <c r="HO11" s="466"/>
      <c r="HP11" s="466"/>
      <c r="HQ11" s="466"/>
      <c r="HR11" s="464"/>
      <c r="HS11" s="463"/>
      <c r="HT11" s="464"/>
      <c r="HU11" s="465"/>
      <c r="HV11" s="466"/>
      <c r="HW11" s="466"/>
      <c r="HX11" s="466"/>
      <c r="HY11" s="466"/>
      <c r="HZ11" s="466"/>
      <c r="IA11" s="464"/>
      <c r="IB11" s="463"/>
      <c r="IC11" s="464"/>
      <c r="ID11" s="465"/>
      <c r="IE11" s="466"/>
      <c r="IF11" s="466"/>
      <c r="IG11" s="466"/>
      <c r="IH11" s="466"/>
      <c r="II11" s="466"/>
      <c r="IJ11" s="464"/>
      <c r="IK11" s="463"/>
      <c r="IL11" s="464"/>
      <c r="IM11" s="465"/>
      <c r="IN11" s="466"/>
      <c r="IO11" s="466"/>
      <c r="IP11" s="466"/>
      <c r="IQ11" s="466"/>
      <c r="IR11" s="466"/>
      <c r="IS11" s="464"/>
      <c r="IT11" s="463"/>
      <c r="IU11" s="464"/>
      <c r="IV11" s="465"/>
    </row>
    <row r="12" spans="1:256" s="467" customFormat="1" x14ac:dyDescent="0.25">
      <c r="A12" s="473"/>
      <c r="B12" s="474">
        <v>8422</v>
      </c>
      <c r="C12" s="475"/>
      <c r="D12" s="476" t="s">
        <v>556</v>
      </c>
      <c r="E12" s="477">
        <v>0</v>
      </c>
      <c r="F12" s="477">
        <v>0</v>
      </c>
      <c r="G12" s="478">
        <v>0</v>
      </c>
      <c r="H12" s="479">
        <v>0</v>
      </c>
      <c r="I12" s="480">
        <v>0</v>
      </c>
      <c r="J12" s="480">
        <v>0</v>
      </c>
      <c r="K12" s="463"/>
      <c r="L12" s="464"/>
      <c r="M12" s="465"/>
      <c r="N12" s="466"/>
      <c r="O12" s="466"/>
      <c r="P12" s="466"/>
      <c r="Q12" s="466"/>
      <c r="R12" s="466"/>
      <c r="S12" s="464"/>
      <c r="T12" s="463"/>
      <c r="U12" s="464"/>
      <c r="V12" s="465"/>
      <c r="W12" s="466"/>
      <c r="X12" s="466"/>
      <c r="Y12" s="466"/>
      <c r="Z12" s="466"/>
      <c r="AA12" s="466"/>
      <c r="AB12" s="464"/>
      <c r="AC12" s="463"/>
      <c r="AD12" s="464"/>
      <c r="AE12" s="465"/>
      <c r="AF12" s="466"/>
      <c r="AG12" s="466"/>
      <c r="AH12" s="466"/>
      <c r="AI12" s="466"/>
      <c r="AJ12" s="466"/>
      <c r="AK12" s="464"/>
      <c r="AL12" s="463"/>
      <c r="AM12" s="464"/>
      <c r="AN12" s="465"/>
      <c r="AO12" s="466"/>
      <c r="AP12" s="466"/>
      <c r="AQ12" s="466"/>
      <c r="AR12" s="466"/>
      <c r="AS12" s="466"/>
      <c r="AT12" s="464"/>
      <c r="AU12" s="463"/>
      <c r="AV12" s="464"/>
      <c r="AW12" s="465"/>
      <c r="AX12" s="466"/>
      <c r="AY12" s="466"/>
      <c r="AZ12" s="466"/>
      <c r="BA12" s="466"/>
      <c r="BB12" s="466"/>
      <c r="BC12" s="464"/>
      <c r="BD12" s="463"/>
      <c r="BE12" s="464"/>
      <c r="BF12" s="465"/>
      <c r="BG12" s="466"/>
      <c r="BH12" s="466"/>
      <c r="BI12" s="466"/>
      <c r="BJ12" s="466"/>
      <c r="BK12" s="466"/>
      <c r="BL12" s="464"/>
      <c r="BM12" s="463"/>
      <c r="BN12" s="464"/>
      <c r="BO12" s="465"/>
      <c r="BP12" s="466"/>
      <c r="BQ12" s="466"/>
      <c r="BR12" s="466"/>
      <c r="BS12" s="466"/>
      <c r="BT12" s="466"/>
      <c r="BU12" s="464"/>
      <c r="BV12" s="463"/>
      <c r="BW12" s="464"/>
      <c r="BX12" s="465"/>
      <c r="BY12" s="466"/>
      <c r="BZ12" s="466"/>
      <c r="CA12" s="466"/>
      <c r="CB12" s="466"/>
      <c r="CC12" s="466"/>
      <c r="CD12" s="464"/>
      <c r="CE12" s="463"/>
      <c r="CF12" s="464"/>
      <c r="CG12" s="465"/>
      <c r="CH12" s="466"/>
      <c r="CI12" s="466"/>
      <c r="CJ12" s="466"/>
      <c r="CK12" s="466"/>
      <c r="CL12" s="466"/>
      <c r="CM12" s="464"/>
      <c r="CN12" s="463"/>
      <c r="CO12" s="464"/>
      <c r="CP12" s="465"/>
      <c r="CQ12" s="466"/>
      <c r="CR12" s="466"/>
      <c r="CS12" s="466"/>
      <c r="CT12" s="466"/>
      <c r="CU12" s="466"/>
      <c r="CV12" s="464"/>
      <c r="CW12" s="463"/>
      <c r="CX12" s="464"/>
      <c r="CY12" s="465"/>
      <c r="CZ12" s="466"/>
      <c r="DA12" s="466"/>
      <c r="DB12" s="466"/>
      <c r="DC12" s="466"/>
      <c r="DD12" s="466"/>
      <c r="DE12" s="464"/>
      <c r="DF12" s="463"/>
      <c r="DG12" s="464"/>
      <c r="DH12" s="465"/>
      <c r="DI12" s="466"/>
      <c r="DJ12" s="466"/>
      <c r="DK12" s="466"/>
      <c r="DL12" s="466"/>
      <c r="DM12" s="466"/>
      <c r="DN12" s="464"/>
      <c r="DO12" s="463"/>
      <c r="DP12" s="464"/>
      <c r="DQ12" s="465"/>
      <c r="DR12" s="466"/>
      <c r="DS12" s="466"/>
      <c r="DT12" s="466"/>
      <c r="DU12" s="466"/>
      <c r="DV12" s="466"/>
      <c r="DW12" s="464"/>
      <c r="DX12" s="463"/>
      <c r="DY12" s="464"/>
      <c r="DZ12" s="465"/>
      <c r="EA12" s="466"/>
      <c r="EB12" s="466"/>
      <c r="EC12" s="466"/>
      <c r="ED12" s="466"/>
      <c r="EE12" s="466"/>
      <c r="EF12" s="464"/>
      <c r="EG12" s="463"/>
      <c r="EH12" s="464"/>
      <c r="EI12" s="465"/>
      <c r="EJ12" s="466"/>
      <c r="EK12" s="466"/>
      <c r="EL12" s="466"/>
      <c r="EM12" s="466"/>
      <c r="EN12" s="466"/>
      <c r="EO12" s="464"/>
      <c r="EP12" s="463"/>
      <c r="EQ12" s="464"/>
      <c r="ER12" s="465"/>
      <c r="ES12" s="466"/>
      <c r="ET12" s="466"/>
      <c r="EU12" s="466"/>
      <c r="EV12" s="466"/>
      <c r="EW12" s="466"/>
      <c r="EX12" s="464"/>
      <c r="EY12" s="463"/>
      <c r="EZ12" s="464"/>
      <c r="FA12" s="465"/>
      <c r="FB12" s="466"/>
      <c r="FC12" s="466"/>
      <c r="FD12" s="466"/>
      <c r="FE12" s="466"/>
      <c r="FF12" s="466"/>
      <c r="FG12" s="464"/>
      <c r="FH12" s="463"/>
      <c r="FI12" s="464"/>
      <c r="FJ12" s="465"/>
      <c r="FK12" s="466"/>
      <c r="FL12" s="466"/>
      <c r="FM12" s="466"/>
      <c r="FN12" s="466"/>
      <c r="FO12" s="466"/>
      <c r="FP12" s="464"/>
      <c r="FQ12" s="463"/>
      <c r="FR12" s="464"/>
      <c r="FS12" s="465"/>
      <c r="FT12" s="466"/>
      <c r="FU12" s="466"/>
      <c r="FV12" s="466"/>
      <c r="FW12" s="466"/>
      <c r="FX12" s="466"/>
      <c r="FY12" s="464"/>
      <c r="FZ12" s="463"/>
      <c r="GA12" s="464"/>
      <c r="GB12" s="465"/>
      <c r="GC12" s="466"/>
      <c r="GD12" s="466"/>
      <c r="GE12" s="466"/>
      <c r="GF12" s="466"/>
      <c r="GG12" s="466"/>
      <c r="GH12" s="464"/>
      <c r="GI12" s="463"/>
      <c r="GJ12" s="464"/>
      <c r="GK12" s="465"/>
      <c r="GL12" s="466"/>
      <c r="GM12" s="466"/>
      <c r="GN12" s="466"/>
      <c r="GO12" s="466"/>
      <c r="GP12" s="466"/>
      <c r="GQ12" s="464"/>
      <c r="GR12" s="463"/>
      <c r="GS12" s="464"/>
      <c r="GT12" s="465"/>
      <c r="GU12" s="466"/>
      <c r="GV12" s="466"/>
      <c r="GW12" s="466"/>
      <c r="GX12" s="466"/>
      <c r="GY12" s="466"/>
      <c r="GZ12" s="464"/>
      <c r="HA12" s="463"/>
      <c r="HB12" s="464"/>
      <c r="HC12" s="465"/>
      <c r="HD12" s="466"/>
      <c r="HE12" s="466"/>
      <c r="HF12" s="466"/>
      <c r="HG12" s="466"/>
      <c r="HH12" s="466"/>
      <c r="HI12" s="464"/>
      <c r="HJ12" s="463"/>
      <c r="HK12" s="464"/>
      <c r="HL12" s="465"/>
      <c r="HM12" s="466"/>
      <c r="HN12" s="466"/>
      <c r="HO12" s="466"/>
      <c r="HP12" s="466"/>
      <c r="HQ12" s="466"/>
      <c r="HR12" s="464"/>
      <c r="HS12" s="463"/>
      <c r="HT12" s="464"/>
      <c r="HU12" s="465"/>
      <c r="HV12" s="466"/>
      <c r="HW12" s="466"/>
      <c r="HX12" s="466"/>
      <c r="HY12" s="466"/>
      <c r="HZ12" s="466"/>
      <c r="IA12" s="464"/>
      <c r="IB12" s="463"/>
      <c r="IC12" s="464"/>
      <c r="ID12" s="465"/>
      <c r="IE12" s="466"/>
      <c r="IF12" s="466"/>
      <c r="IG12" s="466"/>
      <c r="IH12" s="466"/>
      <c r="II12" s="466"/>
      <c r="IJ12" s="464"/>
      <c r="IK12" s="463"/>
      <c r="IL12" s="464"/>
      <c r="IM12" s="465"/>
      <c r="IN12" s="466"/>
      <c r="IO12" s="466"/>
      <c r="IP12" s="466"/>
      <c r="IQ12" s="466"/>
      <c r="IR12" s="466"/>
      <c r="IS12" s="464"/>
      <c r="IT12" s="463"/>
      <c r="IU12" s="464"/>
      <c r="IV12" s="465"/>
    </row>
    <row r="13" spans="1:256" x14ac:dyDescent="0.25">
      <c r="A13" s="481"/>
      <c r="B13" s="482"/>
      <c r="C13" s="483">
        <v>81</v>
      </c>
      <c r="D13" s="484" t="s">
        <v>557</v>
      </c>
      <c r="E13" s="485">
        <f>SUM(E9)</f>
        <v>0</v>
      </c>
      <c r="F13" s="485">
        <f>SUM(F9)</f>
        <v>0</v>
      </c>
      <c r="G13" s="485">
        <f>SUM(G9)</f>
        <v>0</v>
      </c>
      <c r="H13" s="486">
        <f>SUM(H9)</f>
        <v>0</v>
      </c>
      <c r="I13" s="480">
        <v>0</v>
      </c>
      <c r="J13" s="480">
        <v>0</v>
      </c>
    </row>
    <row r="14" spans="1:256" x14ac:dyDescent="0.25">
      <c r="A14" s="457">
        <v>5</v>
      </c>
      <c r="B14" s="487"/>
      <c r="C14" s="488"/>
      <c r="D14" s="489" t="s">
        <v>558</v>
      </c>
      <c r="E14" s="490">
        <f>SUM(E15)</f>
        <v>0</v>
      </c>
      <c r="F14" s="490">
        <f t="shared" ref="F14:H16" si="0">SUM(F15)</f>
        <v>0</v>
      </c>
      <c r="G14" s="490">
        <f t="shared" si="0"/>
        <v>0</v>
      </c>
      <c r="H14" s="491">
        <f t="shared" si="0"/>
        <v>0</v>
      </c>
      <c r="I14" s="456">
        <v>0</v>
      </c>
      <c r="J14" s="456">
        <v>0</v>
      </c>
    </row>
    <row r="15" spans="1:256" s="439" customFormat="1" x14ac:dyDescent="0.25">
      <c r="A15" s="492"/>
      <c r="B15" s="492">
        <v>54</v>
      </c>
      <c r="C15" s="488"/>
      <c r="D15" s="489" t="s">
        <v>559</v>
      </c>
      <c r="E15" s="490">
        <f>SUM(E16)</f>
        <v>0</v>
      </c>
      <c r="F15" s="490">
        <v>0</v>
      </c>
      <c r="G15" s="490">
        <f t="shared" si="0"/>
        <v>0</v>
      </c>
      <c r="H15" s="491">
        <f t="shared" si="0"/>
        <v>0</v>
      </c>
      <c r="I15" s="456">
        <v>0</v>
      </c>
      <c r="J15" s="456">
        <v>0</v>
      </c>
    </row>
    <row r="16" spans="1:256" s="439" customFormat="1" ht="31.5" x14ac:dyDescent="0.25">
      <c r="A16" s="492"/>
      <c r="B16" s="492" t="s">
        <v>560</v>
      </c>
      <c r="C16" s="488"/>
      <c r="D16" s="493" t="s">
        <v>561</v>
      </c>
      <c r="E16" s="490">
        <f>SUM(E17)</f>
        <v>0</v>
      </c>
      <c r="F16" s="490">
        <f>SUM(F17)</f>
        <v>0</v>
      </c>
      <c r="G16" s="490">
        <f t="shared" si="0"/>
        <v>0</v>
      </c>
      <c r="H16" s="491">
        <f t="shared" si="0"/>
        <v>0</v>
      </c>
      <c r="I16" s="456">
        <v>0</v>
      </c>
      <c r="J16" s="456">
        <v>0</v>
      </c>
    </row>
    <row r="17" spans="1:10" ht="31.5" x14ac:dyDescent="0.25">
      <c r="A17" s="494"/>
      <c r="B17" s="494" t="s">
        <v>562</v>
      </c>
      <c r="C17" s="495"/>
      <c r="D17" s="496" t="s">
        <v>563</v>
      </c>
      <c r="E17" s="497">
        <v>0</v>
      </c>
      <c r="F17" s="497">
        <v>0</v>
      </c>
      <c r="G17" s="498">
        <v>0</v>
      </c>
      <c r="H17" s="499">
        <v>0</v>
      </c>
      <c r="I17" s="500">
        <v>0</v>
      </c>
      <c r="J17" s="500">
        <v>0</v>
      </c>
    </row>
    <row r="18" spans="1:10" s="501" customFormat="1" x14ac:dyDescent="0.25">
      <c r="A18" s="481"/>
      <c r="B18" s="482"/>
      <c r="C18" s="483">
        <v>11</v>
      </c>
      <c r="D18" s="484" t="s">
        <v>15</v>
      </c>
      <c r="E18" s="485">
        <f>SUM(E14)</f>
        <v>0</v>
      </c>
      <c r="F18" s="485">
        <f>SUM(F14)</f>
        <v>0</v>
      </c>
      <c r="G18" s="485">
        <f>SUM(G14)</f>
        <v>0</v>
      </c>
      <c r="H18" s="486">
        <f>SUM(H14)</f>
        <v>0</v>
      </c>
      <c r="I18" s="480">
        <v>0</v>
      </c>
      <c r="J18" s="480">
        <v>0</v>
      </c>
    </row>
  </sheetData>
  <mergeCells count="4">
    <mergeCell ref="A1:J1"/>
    <mergeCell ref="A2:J2"/>
    <mergeCell ref="A4:J4"/>
    <mergeCell ref="A8:D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9</vt:i4>
      </vt:variant>
    </vt:vector>
  </HeadingPairs>
  <TitlesOfParts>
    <vt:vector size="9" baseType="lpstr">
      <vt:lpstr>SAŽETAK</vt:lpstr>
      <vt:lpstr>Prihodi po ekonomskoj klas</vt:lpstr>
      <vt:lpstr>RASHODI-ek.kl.</vt:lpstr>
      <vt:lpstr>Prihodi po ek klas i izvorima</vt:lpstr>
      <vt:lpstr> PRIHODI I RASHODI-izvori</vt:lpstr>
      <vt:lpstr>RASHODI-funkcijska</vt:lpstr>
      <vt:lpstr>Rekapitulacija Posebni dio</vt:lpstr>
      <vt:lpstr>Kontrolna tablica</vt:lpstr>
      <vt:lpstr>RAČUN FINANCIRANJA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fakture10</dc:creator>
  <cp:lastModifiedBy>Vanja Kovac</cp:lastModifiedBy>
  <cp:lastPrinted>2026-02-17T11:23:18Z</cp:lastPrinted>
  <dcterms:created xsi:type="dcterms:W3CDTF">2015-06-05T18:19:34Z</dcterms:created>
  <dcterms:modified xsi:type="dcterms:W3CDTF">2026-03-20T11:21:15Z</dcterms:modified>
</cp:coreProperties>
</file>