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dusan\Desktop\FINANCIJSKI PLANOVI\Financijski plan 2026-2028\"/>
    </mc:Choice>
  </mc:AlternateContent>
  <xr:revisionPtr revIDLastSave="0" documentId="13_ncr:1_{279520F0-D80A-4EAD-9F63-518982B39616}" xr6:coauthVersionLast="47" xr6:coauthVersionMax="47" xr10:uidLastSave="{00000000-0000-0000-0000-000000000000}"/>
  <bookViews>
    <workbookView xWindow="-120" yWindow="-120" windowWidth="29040" windowHeight="15840" tabRatio="660" xr2:uid="{00000000-000D-0000-FFFF-FFFF00000000}"/>
  </bookViews>
  <sheets>
    <sheet name="SAŽETAK" sheetId="3" r:id="rId1"/>
    <sheet name="Prihodi po ekonomskoj klas" sheetId="2" r:id="rId2"/>
    <sheet name="RASHODI-ek.kl." sheetId="4" r:id="rId3"/>
    <sheet name="Prihodi po ek klas i izvorima" sheetId="1" r:id="rId4"/>
    <sheet name=" PRIHODI I RASHODI-izvori" sheetId="5" r:id="rId5"/>
    <sheet name="Prih.i rash." sheetId="9" r:id="rId6"/>
    <sheet name="RASHODI-funkcijska" sheetId="8" r:id="rId7"/>
    <sheet name="Rekapitulacija Posebni dio" sheetId="6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0" i="3" l="1"/>
  <c r="H31" i="3" s="1"/>
  <c r="G31" i="3"/>
  <c r="G25" i="3" l="1"/>
  <c r="I30" i="3"/>
  <c r="I31" i="3" s="1"/>
  <c r="G37" i="3"/>
  <c r="G42" i="2"/>
  <c r="H42" i="2"/>
  <c r="F87" i="1"/>
  <c r="F86" i="1" s="1"/>
  <c r="F85" i="1" s="1"/>
  <c r="G87" i="1"/>
  <c r="G86" i="1" s="1"/>
  <c r="G85" i="1" s="1"/>
  <c r="H87" i="1"/>
  <c r="H86" i="1" s="1"/>
  <c r="H85" i="1" s="1"/>
  <c r="I87" i="1"/>
  <c r="I86" i="1" s="1"/>
  <c r="I85" i="1" s="1"/>
  <c r="F90" i="1"/>
  <c r="F89" i="1" s="1"/>
  <c r="G90" i="1"/>
  <c r="G89" i="1" s="1"/>
  <c r="H90" i="1"/>
  <c r="H89" i="1" s="1"/>
  <c r="I90" i="1"/>
  <c r="I89" i="1" s="1"/>
  <c r="F84" i="1"/>
  <c r="G84" i="1"/>
  <c r="H84" i="1"/>
  <c r="I84" i="1"/>
  <c r="I82" i="1"/>
  <c r="H82" i="1"/>
  <c r="G82" i="1"/>
  <c r="F82" i="1"/>
  <c r="I81" i="1"/>
  <c r="H81" i="1"/>
  <c r="G81" i="1"/>
  <c r="F81" i="1"/>
  <c r="I80" i="1"/>
  <c r="H80" i="1"/>
  <c r="G80" i="1"/>
  <c r="F80" i="1"/>
  <c r="I79" i="1"/>
  <c r="H79" i="1"/>
  <c r="G79" i="1"/>
  <c r="F79" i="1"/>
  <c r="F73" i="1"/>
  <c r="G73" i="1"/>
  <c r="H73" i="1"/>
  <c r="I73" i="1"/>
  <c r="F76" i="1"/>
  <c r="F75" i="1" s="1"/>
  <c r="F74" i="1" s="1"/>
  <c r="G76" i="1"/>
  <c r="G75" i="1" s="1"/>
  <c r="G74" i="1" s="1"/>
  <c r="H76" i="1"/>
  <c r="H75" i="1" s="1"/>
  <c r="H74" i="1" s="1"/>
  <c r="I76" i="1"/>
  <c r="I75" i="1" s="1"/>
  <c r="I74" i="1" s="1"/>
  <c r="H67" i="1"/>
  <c r="I67" i="1"/>
  <c r="F68" i="1"/>
  <c r="F67" i="1" s="1"/>
  <c r="G68" i="1"/>
  <c r="G67" i="1" s="1"/>
  <c r="H68" i="1"/>
  <c r="I68" i="1"/>
  <c r="F65" i="1"/>
  <c r="G65" i="1"/>
  <c r="H65" i="1"/>
  <c r="I65" i="1"/>
  <c r="F63" i="1"/>
  <c r="F62" i="1" s="1"/>
  <c r="G63" i="1"/>
  <c r="G62" i="1" s="1"/>
  <c r="H63" i="1"/>
  <c r="H62" i="1" s="1"/>
  <c r="I63" i="1"/>
  <c r="I62" i="1" s="1"/>
  <c r="F60" i="1"/>
  <c r="F59" i="1" s="1"/>
  <c r="G60" i="1"/>
  <c r="G59" i="1" s="1"/>
  <c r="H60" i="1"/>
  <c r="H59" i="1" s="1"/>
  <c r="I60" i="1"/>
  <c r="I59" i="1" s="1"/>
  <c r="F53" i="1"/>
  <c r="F56" i="1"/>
  <c r="F55" i="1" s="1"/>
  <c r="G56" i="1"/>
  <c r="G55" i="1" s="1"/>
  <c r="H56" i="1"/>
  <c r="H55" i="1" s="1"/>
  <c r="I56" i="1"/>
  <c r="I55" i="1" s="1"/>
  <c r="F51" i="1"/>
  <c r="F50" i="1" s="1"/>
  <c r="F49" i="1" s="1"/>
  <c r="G51" i="1"/>
  <c r="G50" i="1" s="1"/>
  <c r="G49" i="1" s="1"/>
  <c r="H51" i="1"/>
  <c r="H50" i="1" s="1"/>
  <c r="H49" i="1" s="1"/>
  <c r="I51" i="1"/>
  <c r="I50" i="1" s="1"/>
  <c r="I49" i="1" s="1"/>
  <c r="F43" i="1"/>
  <c r="G43" i="1"/>
  <c r="H43" i="1"/>
  <c r="I43" i="1"/>
  <c r="F47" i="1"/>
  <c r="F46" i="1" s="1"/>
  <c r="G47" i="1"/>
  <c r="G46" i="1" s="1"/>
  <c r="H47" i="1"/>
  <c r="H46" i="1" s="1"/>
  <c r="I47" i="1"/>
  <c r="I46" i="1" s="1"/>
  <c r="F39" i="1"/>
  <c r="F38" i="1" s="1"/>
  <c r="F37" i="1" s="1"/>
  <c r="G39" i="1"/>
  <c r="G38" i="1" s="1"/>
  <c r="G37" i="1" s="1"/>
  <c r="H39" i="1"/>
  <c r="H38" i="1" s="1"/>
  <c r="H37" i="1" s="1"/>
  <c r="I39" i="1"/>
  <c r="I38" i="1" s="1"/>
  <c r="I37" i="1" s="1"/>
  <c r="F33" i="1"/>
  <c r="G33" i="1"/>
  <c r="H33" i="1"/>
  <c r="I33" i="1"/>
  <c r="F27" i="1"/>
  <c r="G27" i="1"/>
  <c r="H27" i="1"/>
  <c r="I27" i="1"/>
  <c r="F25" i="1"/>
  <c r="F24" i="1" s="1"/>
  <c r="G25" i="1"/>
  <c r="G24" i="1" s="1"/>
  <c r="H25" i="1"/>
  <c r="H24" i="1" s="1"/>
  <c r="I25" i="1"/>
  <c r="I24" i="1" s="1"/>
  <c r="F20" i="1"/>
  <c r="G20" i="1"/>
  <c r="H20" i="1"/>
  <c r="I20" i="1"/>
  <c r="I17" i="1" s="1"/>
  <c r="I16" i="1" s="1"/>
  <c r="F15" i="1"/>
  <c r="G15" i="1"/>
  <c r="H15" i="1"/>
  <c r="I15" i="1"/>
  <c r="F18" i="1"/>
  <c r="F17" i="1" s="1"/>
  <c r="F16" i="1" s="1"/>
  <c r="G18" i="1"/>
  <c r="G17" i="1" s="1"/>
  <c r="G16" i="1" s="1"/>
  <c r="H18" i="1"/>
  <c r="H17" i="1" s="1"/>
  <c r="H16" i="1" s="1"/>
  <c r="I18" i="1"/>
  <c r="F13" i="1"/>
  <c r="G13" i="1"/>
  <c r="H13" i="1"/>
  <c r="I13" i="1"/>
  <c r="I10" i="1" s="1"/>
  <c r="I9" i="1" s="1"/>
  <c r="F11" i="1"/>
  <c r="F10" i="1" s="1"/>
  <c r="F9" i="1" s="1"/>
  <c r="G11" i="1"/>
  <c r="G10" i="1" s="1"/>
  <c r="G9" i="1" s="1"/>
  <c r="H11" i="1"/>
  <c r="H10" i="1" s="1"/>
  <c r="H9" i="1" s="1"/>
  <c r="I11" i="1"/>
  <c r="F31" i="1"/>
  <c r="F30" i="1" s="1"/>
  <c r="G31" i="1"/>
  <c r="G30" i="1" s="1"/>
  <c r="H31" i="1"/>
  <c r="H30" i="1" s="1"/>
  <c r="I31" i="1"/>
  <c r="I30" i="1" s="1"/>
  <c r="F35" i="1"/>
  <c r="F34" i="1" s="1"/>
  <c r="G35" i="1"/>
  <c r="G34" i="1" s="1"/>
  <c r="H35" i="1"/>
  <c r="H34" i="1" s="1"/>
  <c r="I35" i="1"/>
  <c r="I34" i="1" s="1"/>
  <c r="F71" i="1"/>
  <c r="G71" i="1"/>
  <c r="H71" i="1"/>
  <c r="I71" i="1"/>
  <c r="E67" i="4"/>
  <c r="E66" i="4" s="1"/>
  <c r="F81" i="4"/>
  <c r="F80" i="4" s="1"/>
  <c r="G100" i="4"/>
  <c r="G117" i="4"/>
  <c r="G116" i="4" s="1"/>
  <c r="H127" i="4"/>
  <c r="G130" i="4"/>
  <c r="G129" i="4" s="1"/>
  <c r="E141" i="4"/>
  <c r="H142" i="4"/>
  <c r="F153" i="4"/>
  <c r="F152" i="4" s="1"/>
  <c r="H168" i="4"/>
  <c r="H167" i="4" s="1"/>
  <c r="H172" i="4"/>
  <c r="H174" i="4"/>
  <c r="H173" i="4" s="1"/>
  <c r="E191" i="4"/>
  <c r="E190" i="4" s="1"/>
  <c r="F191" i="4"/>
  <c r="F190" i="4" s="1"/>
  <c r="G191" i="4"/>
  <c r="G190" i="4" s="1"/>
  <c r="H191" i="4"/>
  <c r="H190" i="4" s="1"/>
  <c r="E200" i="4"/>
  <c r="F200" i="4"/>
  <c r="G200" i="4"/>
  <c r="H200" i="4"/>
  <c r="E206" i="4"/>
  <c r="E205" i="4" s="1"/>
  <c r="E202" i="4" s="1"/>
  <c r="E207" i="4"/>
  <c r="F207" i="4"/>
  <c r="G207" i="4"/>
  <c r="H207" i="4"/>
  <c r="E211" i="4"/>
  <c r="E210" i="4" s="1"/>
  <c r="F211" i="4"/>
  <c r="F210" i="4" s="1"/>
  <c r="G211" i="4"/>
  <c r="G210" i="4" s="1"/>
  <c r="H211" i="4"/>
  <c r="H210" i="4" s="1"/>
  <c r="E213" i="4"/>
  <c r="F213" i="4"/>
  <c r="G213" i="4"/>
  <c r="H213" i="4"/>
  <c r="E216" i="4"/>
  <c r="F216" i="4"/>
  <c r="G216" i="4"/>
  <c r="H216" i="4"/>
  <c r="E220" i="4"/>
  <c r="E237" i="4"/>
  <c r="F237" i="4"/>
  <c r="G237" i="4"/>
  <c r="H237" i="4"/>
  <c r="E243" i="4"/>
  <c r="F243" i="4"/>
  <c r="G243" i="4"/>
  <c r="H243" i="4"/>
  <c r="F386" i="5"/>
  <c r="G386" i="5"/>
  <c r="H386" i="5"/>
  <c r="I386" i="5"/>
  <c r="F387" i="5"/>
  <c r="G387" i="5"/>
  <c r="H387" i="5"/>
  <c r="I387" i="5"/>
  <c r="E387" i="5"/>
  <c r="E386" i="5"/>
  <c r="D592" i="6"/>
  <c r="E592" i="6"/>
  <c r="F592" i="6"/>
  <c r="G592" i="6"/>
  <c r="C592" i="6"/>
  <c r="C596" i="6"/>
  <c r="D596" i="6"/>
  <c r="E596" i="6"/>
  <c r="F596" i="6"/>
  <c r="G596" i="6"/>
  <c r="F414" i="5"/>
  <c r="F413" i="5" s="1"/>
  <c r="F412" i="5" s="1"/>
  <c r="G414" i="5"/>
  <c r="G413" i="5" s="1"/>
  <c r="G412" i="5" s="1"/>
  <c r="H414" i="5"/>
  <c r="H413" i="5" s="1"/>
  <c r="H412" i="5" s="1"/>
  <c r="I414" i="5"/>
  <c r="I413" i="5" s="1"/>
  <c r="I412" i="5" s="1"/>
  <c r="F403" i="5"/>
  <c r="F401" i="5" s="1"/>
  <c r="G403" i="5"/>
  <c r="H403" i="5"/>
  <c r="H401" i="5" s="1"/>
  <c r="I403" i="5"/>
  <c r="I401" i="5" s="1"/>
  <c r="E403" i="5"/>
  <c r="F398" i="5"/>
  <c r="F397" i="5" s="1"/>
  <c r="G398" i="5"/>
  <c r="H398" i="5"/>
  <c r="H397" i="5" s="1"/>
  <c r="I398" i="5"/>
  <c r="I397" i="5" s="1"/>
  <c r="E398" i="5"/>
  <c r="F395" i="5"/>
  <c r="G395" i="5"/>
  <c r="H395" i="5"/>
  <c r="I395" i="5"/>
  <c r="E395" i="5"/>
  <c r="F394" i="5"/>
  <c r="F393" i="5" s="1"/>
  <c r="G394" i="5"/>
  <c r="H394" i="5"/>
  <c r="I394" i="5"/>
  <c r="E394" i="5"/>
  <c r="F391" i="5"/>
  <c r="F390" i="5" s="1"/>
  <c r="G391" i="5"/>
  <c r="G390" i="5" s="1"/>
  <c r="H391" i="5"/>
  <c r="H390" i="5" s="1"/>
  <c r="I391" i="5"/>
  <c r="I390" i="5" s="1"/>
  <c r="E391" i="5"/>
  <c r="F389" i="5"/>
  <c r="F388" i="5" s="1"/>
  <c r="G389" i="5"/>
  <c r="G388" i="5" s="1"/>
  <c r="H389" i="5"/>
  <c r="H388" i="5" s="1"/>
  <c r="I389" i="5"/>
  <c r="I388" i="5" s="1"/>
  <c r="E389" i="5"/>
  <c r="F385" i="5"/>
  <c r="G385" i="5"/>
  <c r="H385" i="5"/>
  <c r="I385" i="5"/>
  <c r="E385" i="5"/>
  <c r="F381" i="5"/>
  <c r="F380" i="5" s="1"/>
  <c r="F379" i="5" s="1"/>
  <c r="G381" i="5"/>
  <c r="G380" i="5" s="1"/>
  <c r="G379" i="5" s="1"/>
  <c r="H381" i="5"/>
  <c r="I381" i="5"/>
  <c r="I380" i="5" s="1"/>
  <c r="I379" i="5" s="1"/>
  <c r="E381" i="5"/>
  <c r="F377" i="5"/>
  <c r="G377" i="5"/>
  <c r="H377" i="5"/>
  <c r="I377" i="5"/>
  <c r="F378" i="5"/>
  <c r="G378" i="5"/>
  <c r="H378" i="5"/>
  <c r="I378" i="5"/>
  <c r="F371" i="5"/>
  <c r="F370" i="5" s="1"/>
  <c r="G371" i="5"/>
  <c r="G370" i="5" s="1"/>
  <c r="H371" i="5"/>
  <c r="H370" i="5" s="1"/>
  <c r="I371" i="5"/>
  <c r="I370" i="5" s="1"/>
  <c r="E371" i="5"/>
  <c r="F15" i="5"/>
  <c r="F14" i="5" s="1"/>
  <c r="F13" i="5" s="1"/>
  <c r="G15" i="5"/>
  <c r="G14" i="5" s="1"/>
  <c r="G13" i="5" s="1"/>
  <c r="H15" i="5"/>
  <c r="H14" i="5" s="1"/>
  <c r="H13" i="5" s="1"/>
  <c r="I15" i="5"/>
  <c r="I14" i="5" s="1"/>
  <c r="I13" i="5" s="1"/>
  <c r="F18" i="5"/>
  <c r="F17" i="5" s="1"/>
  <c r="F16" i="5" s="1"/>
  <c r="G18" i="5"/>
  <c r="G17" i="5" s="1"/>
  <c r="G16" i="5" s="1"/>
  <c r="H18" i="5"/>
  <c r="H17" i="5" s="1"/>
  <c r="H16" i="5" s="1"/>
  <c r="I18" i="5"/>
  <c r="I17" i="5" s="1"/>
  <c r="I16" i="5" s="1"/>
  <c r="F22" i="5"/>
  <c r="G22" i="5"/>
  <c r="H22" i="5"/>
  <c r="I22" i="5"/>
  <c r="F23" i="5"/>
  <c r="G23" i="5"/>
  <c r="H23" i="5"/>
  <c r="I23" i="5"/>
  <c r="F25" i="5"/>
  <c r="F24" i="5" s="1"/>
  <c r="G25" i="5"/>
  <c r="G24" i="5" s="1"/>
  <c r="H25" i="5"/>
  <c r="H24" i="5" s="1"/>
  <c r="I25" i="5"/>
  <c r="I24" i="5" s="1"/>
  <c r="F27" i="5"/>
  <c r="G27" i="5"/>
  <c r="H27" i="5"/>
  <c r="I27" i="5"/>
  <c r="F28" i="5"/>
  <c r="G28" i="5"/>
  <c r="H28" i="5"/>
  <c r="I28" i="5"/>
  <c r="F30" i="5"/>
  <c r="F29" i="5" s="1"/>
  <c r="G30" i="5"/>
  <c r="G29" i="5" s="1"/>
  <c r="H30" i="5"/>
  <c r="H29" i="5" s="1"/>
  <c r="I30" i="5"/>
  <c r="I29" i="5" s="1"/>
  <c r="F33" i="5"/>
  <c r="F32" i="5" s="1"/>
  <c r="G33" i="5"/>
  <c r="G32" i="5" s="1"/>
  <c r="H33" i="5"/>
  <c r="H32" i="5" s="1"/>
  <c r="I33" i="5"/>
  <c r="I32" i="5" s="1"/>
  <c r="F35" i="5"/>
  <c r="G35" i="5"/>
  <c r="H35" i="5"/>
  <c r="I35" i="5"/>
  <c r="F36" i="5"/>
  <c r="G36" i="5"/>
  <c r="H36" i="5"/>
  <c r="I36" i="5"/>
  <c r="F37" i="5"/>
  <c r="G37" i="5"/>
  <c r="H37" i="5"/>
  <c r="I37" i="5"/>
  <c r="F39" i="5"/>
  <c r="F38" i="5" s="1"/>
  <c r="G39" i="5"/>
  <c r="G38" i="5" s="1"/>
  <c r="H39" i="5"/>
  <c r="H38" i="5" s="1"/>
  <c r="I39" i="5"/>
  <c r="I38" i="5" s="1"/>
  <c r="F41" i="5"/>
  <c r="F40" i="5" s="1"/>
  <c r="G41" i="5"/>
  <c r="G40" i="5" s="1"/>
  <c r="H41" i="5"/>
  <c r="H40" i="5" s="1"/>
  <c r="I41" i="5"/>
  <c r="I40" i="5" s="1"/>
  <c r="F43" i="5"/>
  <c r="F42" i="5" s="1"/>
  <c r="G43" i="5"/>
  <c r="G42" i="5" s="1"/>
  <c r="H43" i="5"/>
  <c r="H42" i="5" s="1"/>
  <c r="I43" i="5"/>
  <c r="I42" i="5" s="1"/>
  <c r="F45" i="5"/>
  <c r="G45" i="5"/>
  <c r="H45" i="5"/>
  <c r="I45" i="5"/>
  <c r="F46" i="5"/>
  <c r="G46" i="5"/>
  <c r="H46" i="5"/>
  <c r="I46" i="5"/>
  <c r="F49" i="5"/>
  <c r="G49" i="5"/>
  <c r="H49" i="5"/>
  <c r="I49" i="5"/>
  <c r="H156" i="4" s="1"/>
  <c r="F50" i="5"/>
  <c r="G50" i="5"/>
  <c r="H50" i="5"/>
  <c r="I50" i="5"/>
  <c r="H157" i="4" s="1"/>
  <c r="F53" i="5"/>
  <c r="F52" i="5" s="1"/>
  <c r="G53" i="5"/>
  <c r="G52" i="5" s="1"/>
  <c r="H53" i="5"/>
  <c r="H52" i="5" s="1"/>
  <c r="I53" i="5"/>
  <c r="I52" i="5" s="1"/>
  <c r="F55" i="5"/>
  <c r="F54" i="5" s="1"/>
  <c r="G55" i="5"/>
  <c r="G54" i="5" s="1"/>
  <c r="H55" i="5"/>
  <c r="H54" i="5" s="1"/>
  <c r="I55" i="5"/>
  <c r="I54" i="5" s="1"/>
  <c r="F57" i="5"/>
  <c r="F56" i="5" s="1"/>
  <c r="G57" i="5"/>
  <c r="G56" i="5" s="1"/>
  <c r="H57" i="5"/>
  <c r="H56" i="5" s="1"/>
  <c r="I57" i="5"/>
  <c r="I56" i="5" s="1"/>
  <c r="F62" i="5"/>
  <c r="G62" i="5"/>
  <c r="H62" i="5"/>
  <c r="I62" i="5"/>
  <c r="F63" i="5"/>
  <c r="G63" i="5"/>
  <c r="H63" i="5"/>
  <c r="I63" i="5"/>
  <c r="F65" i="5"/>
  <c r="F64" i="5" s="1"/>
  <c r="G65" i="5"/>
  <c r="G64" i="5" s="1"/>
  <c r="H65" i="5"/>
  <c r="H64" i="5" s="1"/>
  <c r="I65" i="5"/>
  <c r="I64" i="5" s="1"/>
  <c r="F67" i="5"/>
  <c r="F66" i="5" s="1"/>
  <c r="G67" i="5"/>
  <c r="G66" i="5" s="1"/>
  <c r="H67" i="5"/>
  <c r="H66" i="5" s="1"/>
  <c r="I67" i="5"/>
  <c r="I66" i="5" s="1"/>
  <c r="F69" i="5"/>
  <c r="F68" i="5" s="1"/>
  <c r="G69" i="5"/>
  <c r="G68" i="5" s="1"/>
  <c r="H69" i="5"/>
  <c r="H68" i="5" s="1"/>
  <c r="I69" i="5"/>
  <c r="I68" i="5" s="1"/>
  <c r="F73" i="5"/>
  <c r="F72" i="5" s="1"/>
  <c r="F71" i="5" s="1"/>
  <c r="F70" i="5" s="1"/>
  <c r="G73" i="5"/>
  <c r="G72" i="5" s="1"/>
  <c r="G71" i="5" s="1"/>
  <c r="G70" i="5" s="1"/>
  <c r="H73" i="5"/>
  <c r="H72" i="5" s="1"/>
  <c r="H71" i="5" s="1"/>
  <c r="H70" i="5" s="1"/>
  <c r="I73" i="5"/>
  <c r="I72" i="5" s="1"/>
  <c r="I71" i="5" s="1"/>
  <c r="I70" i="5" s="1"/>
  <c r="F83" i="5"/>
  <c r="F82" i="5" s="1"/>
  <c r="G83" i="5"/>
  <c r="G82" i="5" s="1"/>
  <c r="H83" i="5"/>
  <c r="H82" i="5" s="1"/>
  <c r="I83" i="5"/>
  <c r="I82" i="5" s="1"/>
  <c r="F86" i="5"/>
  <c r="F85" i="5" s="1"/>
  <c r="F84" i="5" s="1"/>
  <c r="G86" i="5"/>
  <c r="G85" i="5" s="1"/>
  <c r="G84" i="5" s="1"/>
  <c r="H86" i="5"/>
  <c r="H85" i="5" s="1"/>
  <c r="H84" i="5" s="1"/>
  <c r="I86" i="5"/>
  <c r="I85" i="5" s="1"/>
  <c r="I84" i="5" s="1"/>
  <c r="F89" i="5"/>
  <c r="F88" i="5" s="1"/>
  <c r="F87" i="5" s="1"/>
  <c r="G89" i="5"/>
  <c r="G88" i="5" s="1"/>
  <c r="G87" i="5" s="1"/>
  <c r="H89" i="5"/>
  <c r="H88" i="5" s="1"/>
  <c r="H87" i="5" s="1"/>
  <c r="I89" i="5"/>
  <c r="I88" i="5" s="1"/>
  <c r="I87" i="5" s="1"/>
  <c r="F93" i="5"/>
  <c r="F92" i="5" s="1"/>
  <c r="G93" i="5"/>
  <c r="G92" i="5" s="1"/>
  <c r="H93" i="5"/>
  <c r="H92" i="5" s="1"/>
  <c r="I93" i="5"/>
  <c r="I92" i="5" s="1"/>
  <c r="F95" i="5"/>
  <c r="F94" i="5" s="1"/>
  <c r="G95" i="5"/>
  <c r="G94" i="5" s="1"/>
  <c r="H95" i="5"/>
  <c r="I95" i="5"/>
  <c r="I94" i="5" s="1"/>
  <c r="F97" i="5"/>
  <c r="F96" i="5" s="1"/>
  <c r="G97" i="5"/>
  <c r="G96" i="5" s="1"/>
  <c r="H97" i="5"/>
  <c r="H96" i="5" s="1"/>
  <c r="I97" i="5"/>
  <c r="I96" i="5" s="1"/>
  <c r="F101" i="5"/>
  <c r="F100" i="5" s="1"/>
  <c r="G101" i="5"/>
  <c r="G100" i="5" s="1"/>
  <c r="H101" i="5"/>
  <c r="H100" i="5" s="1"/>
  <c r="I101" i="5"/>
  <c r="I100" i="5" s="1"/>
  <c r="F103" i="5"/>
  <c r="G103" i="5"/>
  <c r="H103" i="5"/>
  <c r="G103" i="4" s="1"/>
  <c r="I103" i="5"/>
  <c r="F104" i="5"/>
  <c r="G104" i="5"/>
  <c r="H104" i="5"/>
  <c r="G104" i="4" s="1"/>
  <c r="I104" i="5"/>
  <c r="F106" i="5"/>
  <c r="G106" i="5"/>
  <c r="H106" i="5"/>
  <c r="I106" i="5"/>
  <c r="F107" i="5"/>
  <c r="G107" i="5"/>
  <c r="H107" i="5"/>
  <c r="I107" i="5"/>
  <c r="F108" i="5"/>
  <c r="G108" i="5"/>
  <c r="H108" i="5"/>
  <c r="I108" i="5"/>
  <c r="F110" i="5"/>
  <c r="G110" i="5"/>
  <c r="H110" i="5"/>
  <c r="I110" i="5"/>
  <c r="F112" i="5"/>
  <c r="G112" i="5"/>
  <c r="H112" i="5"/>
  <c r="I112" i="5"/>
  <c r="F117" i="5"/>
  <c r="G117" i="5"/>
  <c r="H117" i="5"/>
  <c r="I117" i="5"/>
  <c r="F118" i="5"/>
  <c r="G118" i="5"/>
  <c r="H118" i="5"/>
  <c r="I118" i="5"/>
  <c r="F124" i="5"/>
  <c r="F123" i="5" s="1"/>
  <c r="G124" i="5"/>
  <c r="G123" i="5" s="1"/>
  <c r="H124" i="5"/>
  <c r="H123" i="5" s="1"/>
  <c r="I124" i="5"/>
  <c r="I123" i="5" s="1"/>
  <c r="F126" i="5"/>
  <c r="F125" i="5" s="1"/>
  <c r="G126" i="5"/>
  <c r="G125" i="5" s="1"/>
  <c r="H126" i="5"/>
  <c r="H125" i="5" s="1"/>
  <c r="I126" i="5"/>
  <c r="I125" i="5" s="1"/>
  <c r="F129" i="5"/>
  <c r="F128" i="5" s="1"/>
  <c r="G129" i="5"/>
  <c r="G128" i="5" s="1"/>
  <c r="H129" i="5"/>
  <c r="H128" i="5" s="1"/>
  <c r="I129" i="5"/>
  <c r="I128" i="5" s="1"/>
  <c r="F132" i="5"/>
  <c r="G132" i="5"/>
  <c r="H132" i="5"/>
  <c r="I132" i="5"/>
  <c r="F133" i="5"/>
  <c r="G133" i="5"/>
  <c r="H133" i="5"/>
  <c r="I133" i="5"/>
  <c r="F137" i="5"/>
  <c r="F136" i="5" s="1"/>
  <c r="G137" i="5"/>
  <c r="G136" i="5" s="1"/>
  <c r="H137" i="5"/>
  <c r="H136" i="5" s="1"/>
  <c r="I137" i="5"/>
  <c r="I136" i="5" s="1"/>
  <c r="I134" i="5" s="1"/>
  <c r="F138" i="5"/>
  <c r="G138" i="5"/>
  <c r="H138" i="5"/>
  <c r="I138" i="5"/>
  <c r="F145" i="5"/>
  <c r="F144" i="5" s="1"/>
  <c r="G145" i="5"/>
  <c r="G144" i="5" s="1"/>
  <c r="H145" i="5"/>
  <c r="H144" i="5" s="1"/>
  <c r="I145" i="5"/>
  <c r="I144" i="5" s="1"/>
  <c r="F151" i="5"/>
  <c r="F150" i="5" s="1"/>
  <c r="G151" i="5"/>
  <c r="G150" i="5" s="1"/>
  <c r="H151" i="5"/>
  <c r="H150" i="5" s="1"/>
  <c r="I151" i="5"/>
  <c r="I150" i="5" s="1"/>
  <c r="F154" i="5"/>
  <c r="G154" i="5"/>
  <c r="H154" i="5"/>
  <c r="I154" i="5"/>
  <c r="F156" i="5"/>
  <c r="F153" i="5" s="1"/>
  <c r="G156" i="5"/>
  <c r="G153" i="5" s="1"/>
  <c r="H156" i="5"/>
  <c r="H153" i="5" s="1"/>
  <c r="I156" i="5"/>
  <c r="I153" i="5" s="1"/>
  <c r="F161" i="5"/>
  <c r="F160" i="5" s="1"/>
  <c r="G161" i="5"/>
  <c r="G160" i="5" s="1"/>
  <c r="H161" i="5"/>
  <c r="H160" i="5" s="1"/>
  <c r="I161" i="5"/>
  <c r="I160" i="5" s="1"/>
  <c r="F164" i="5"/>
  <c r="G164" i="5"/>
  <c r="H164" i="5"/>
  <c r="I164" i="5"/>
  <c r="F167" i="5"/>
  <c r="G167" i="5"/>
  <c r="H167" i="5"/>
  <c r="I167" i="5"/>
  <c r="I166" i="5" s="1"/>
  <c r="F170" i="5"/>
  <c r="G170" i="5"/>
  <c r="H170" i="5"/>
  <c r="I170" i="5"/>
  <c r="F174" i="5"/>
  <c r="G174" i="5"/>
  <c r="H174" i="5"/>
  <c r="I174" i="5"/>
  <c r="F176" i="5"/>
  <c r="G176" i="5"/>
  <c r="H176" i="5"/>
  <c r="I176" i="5"/>
  <c r="F178" i="5"/>
  <c r="G178" i="5"/>
  <c r="H178" i="5"/>
  <c r="I178" i="5"/>
  <c r="F185" i="5"/>
  <c r="G185" i="5"/>
  <c r="H185" i="5"/>
  <c r="I185" i="5"/>
  <c r="F186" i="5"/>
  <c r="E62" i="4" s="1"/>
  <c r="G186" i="5"/>
  <c r="F62" i="4" s="1"/>
  <c r="H186" i="5"/>
  <c r="G62" i="4" s="1"/>
  <c r="I186" i="5"/>
  <c r="H62" i="4" s="1"/>
  <c r="F189" i="5"/>
  <c r="F188" i="5" s="1"/>
  <c r="G189" i="5"/>
  <c r="G188" i="5" s="1"/>
  <c r="H189" i="5"/>
  <c r="H188" i="5" s="1"/>
  <c r="I189" i="5"/>
  <c r="I188" i="5" s="1"/>
  <c r="F191" i="5"/>
  <c r="F190" i="5" s="1"/>
  <c r="G191" i="5"/>
  <c r="G190" i="5" s="1"/>
  <c r="H191" i="5"/>
  <c r="I191" i="5"/>
  <c r="I190" i="5" s="1"/>
  <c r="F194" i="5"/>
  <c r="E70" i="4" s="1"/>
  <c r="G194" i="5"/>
  <c r="F70" i="4" s="1"/>
  <c r="H194" i="5"/>
  <c r="G70" i="4" s="1"/>
  <c r="I194" i="5"/>
  <c r="H70" i="4" s="1"/>
  <c r="F195" i="5"/>
  <c r="E71" i="4" s="1"/>
  <c r="G195" i="5"/>
  <c r="F71" i="4" s="1"/>
  <c r="H195" i="5"/>
  <c r="G71" i="4" s="1"/>
  <c r="I195" i="5"/>
  <c r="H71" i="4" s="1"/>
  <c r="F196" i="5"/>
  <c r="E72" i="4" s="1"/>
  <c r="G196" i="5"/>
  <c r="F72" i="4" s="1"/>
  <c r="H196" i="5"/>
  <c r="G72" i="4" s="1"/>
  <c r="I196" i="5"/>
  <c r="H72" i="4" s="1"/>
  <c r="F197" i="5"/>
  <c r="E73" i="4" s="1"/>
  <c r="G197" i="5"/>
  <c r="F73" i="4" s="1"/>
  <c r="H197" i="5"/>
  <c r="G73" i="4" s="1"/>
  <c r="I197" i="5"/>
  <c r="H73" i="4" s="1"/>
  <c r="F198" i="5"/>
  <c r="E74" i="4" s="1"/>
  <c r="G198" i="5"/>
  <c r="F74" i="4" s="1"/>
  <c r="H198" i="5"/>
  <c r="G74" i="4" s="1"/>
  <c r="I198" i="5"/>
  <c r="G199" i="5"/>
  <c r="H199" i="5"/>
  <c r="I199" i="5"/>
  <c r="H75" i="4" s="1"/>
  <c r="F202" i="5"/>
  <c r="F201" i="5" s="1"/>
  <c r="G202" i="5"/>
  <c r="G201" i="5" s="1"/>
  <c r="H202" i="5"/>
  <c r="H201" i="5" s="1"/>
  <c r="I202" i="5"/>
  <c r="I201" i="5" s="1"/>
  <c r="F204" i="5"/>
  <c r="F203" i="5" s="1"/>
  <c r="G204" i="5"/>
  <c r="G203" i="5" s="1"/>
  <c r="H204" i="5"/>
  <c r="H203" i="5" s="1"/>
  <c r="I204" i="5"/>
  <c r="F208" i="5"/>
  <c r="G208" i="5"/>
  <c r="H208" i="5"/>
  <c r="I208" i="5"/>
  <c r="H85" i="4" s="1"/>
  <c r="F209" i="5"/>
  <c r="G209" i="5"/>
  <c r="F86" i="4" s="1"/>
  <c r="H209" i="5"/>
  <c r="G86" i="4" s="1"/>
  <c r="I209" i="5"/>
  <c r="H86" i="4" s="1"/>
  <c r="G210" i="5"/>
  <c r="H210" i="5"/>
  <c r="I210" i="5"/>
  <c r="F212" i="5"/>
  <c r="G212" i="5"/>
  <c r="G211" i="5" s="1"/>
  <c r="H212" i="5"/>
  <c r="H211" i="5" s="1"/>
  <c r="I212" i="5"/>
  <c r="I211" i="5" s="1"/>
  <c r="F214" i="5"/>
  <c r="E91" i="4" s="1"/>
  <c r="G214" i="5"/>
  <c r="F91" i="4" s="1"/>
  <c r="H214" i="5"/>
  <c r="G91" i="4" s="1"/>
  <c r="I214" i="5"/>
  <c r="H91" i="4" s="1"/>
  <c r="F215" i="5"/>
  <c r="E92" i="4" s="1"/>
  <c r="G215" i="5"/>
  <c r="H215" i="5"/>
  <c r="I215" i="5"/>
  <c r="F217" i="5"/>
  <c r="G217" i="5"/>
  <c r="G216" i="5" s="1"/>
  <c r="H217" i="5"/>
  <c r="H216" i="5" s="1"/>
  <c r="I217" i="5"/>
  <c r="I216" i="5" s="1"/>
  <c r="F220" i="5"/>
  <c r="E97" i="4" s="1"/>
  <c r="G220" i="5"/>
  <c r="H220" i="5"/>
  <c r="I220" i="5"/>
  <c r="H97" i="4" s="1"/>
  <c r="F221" i="5"/>
  <c r="E98" i="4" s="1"/>
  <c r="G221" i="5"/>
  <c r="F98" i="4" s="1"/>
  <c r="H221" i="5"/>
  <c r="G98" i="4" s="1"/>
  <c r="I221" i="5"/>
  <c r="H98" i="4" s="1"/>
  <c r="F222" i="5"/>
  <c r="E99" i="4" s="1"/>
  <c r="G222" i="5"/>
  <c r="H222" i="5"/>
  <c r="I222" i="5"/>
  <c r="H99" i="4" s="1"/>
  <c r="F223" i="5"/>
  <c r="E100" i="4" s="1"/>
  <c r="G223" i="5"/>
  <c r="F100" i="4" s="1"/>
  <c r="H223" i="5"/>
  <c r="I223" i="5"/>
  <c r="H100" i="4" s="1"/>
  <c r="G224" i="5"/>
  <c r="F101" i="4" s="1"/>
  <c r="H224" i="5"/>
  <c r="G101" i="4" s="1"/>
  <c r="I224" i="5"/>
  <c r="H101" i="4" s="1"/>
  <c r="F226" i="5"/>
  <c r="E103" i="4" s="1"/>
  <c r="G226" i="5"/>
  <c r="F103" i="4" s="1"/>
  <c r="H226" i="5"/>
  <c r="I226" i="5"/>
  <c r="H103" i="4" s="1"/>
  <c r="F227" i="5"/>
  <c r="E104" i="4" s="1"/>
  <c r="G227" i="5"/>
  <c r="F104" i="4" s="1"/>
  <c r="H227" i="5"/>
  <c r="I227" i="5"/>
  <c r="H104" i="4" s="1"/>
  <c r="F228" i="5"/>
  <c r="E105" i="4" s="1"/>
  <c r="G228" i="5"/>
  <c r="F105" i="4" s="1"/>
  <c r="H228" i="5"/>
  <c r="G105" i="4" s="1"/>
  <c r="I228" i="5"/>
  <c r="H105" i="4" s="1"/>
  <c r="F230" i="5"/>
  <c r="E107" i="4" s="1"/>
  <c r="G230" i="5"/>
  <c r="F107" i="4" s="1"/>
  <c r="H230" i="5"/>
  <c r="I230" i="5"/>
  <c r="H107" i="4" s="1"/>
  <c r="F231" i="5"/>
  <c r="E108" i="4" s="1"/>
  <c r="G231" i="5"/>
  <c r="F108" i="4" s="1"/>
  <c r="H231" i="5"/>
  <c r="G108" i="4" s="1"/>
  <c r="I231" i="5"/>
  <c r="H108" i="4" s="1"/>
  <c r="F232" i="5"/>
  <c r="E109" i="4" s="1"/>
  <c r="G232" i="5"/>
  <c r="F109" i="4" s="1"/>
  <c r="H232" i="5"/>
  <c r="I232" i="5"/>
  <c r="H109" i="4" s="1"/>
  <c r="F233" i="5"/>
  <c r="E110" i="4" s="1"/>
  <c r="G233" i="5"/>
  <c r="F110" i="4" s="1"/>
  <c r="H233" i="5"/>
  <c r="I233" i="5"/>
  <c r="H110" i="4" s="1"/>
  <c r="F235" i="5"/>
  <c r="G235" i="5"/>
  <c r="F112" i="4" s="1"/>
  <c r="H235" i="5"/>
  <c r="I235" i="5"/>
  <c r="F236" i="5"/>
  <c r="E113" i="4" s="1"/>
  <c r="G236" i="5"/>
  <c r="F113" i="4" s="1"/>
  <c r="H236" i="5"/>
  <c r="G113" i="4" s="1"/>
  <c r="I236" i="5"/>
  <c r="H113" i="4" s="1"/>
  <c r="F237" i="5"/>
  <c r="E114" i="4" s="1"/>
  <c r="G237" i="5"/>
  <c r="F114" i="4" s="1"/>
  <c r="H237" i="5"/>
  <c r="G114" i="4" s="1"/>
  <c r="I237" i="5"/>
  <c r="H114" i="4" s="1"/>
  <c r="F238" i="5"/>
  <c r="E115" i="4" s="1"/>
  <c r="G238" i="5"/>
  <c r="F115" i="4" s="1"/>
  <c r="H238" i="5"/>
  <c r="G115" i="4" s="1"/>
  <c r="I238" i="5"/>
  <c r="H115" i="4" s="1"/>
  <c r="F240" i="5"/>
  <c r="F239" i="5" s="1"/>
  <c r="G240" i="5"/>
  <c r="H240" i="5"/>
  <c r="H239" i="5" s="1"/>
  <c r="I240" i="5"/>
  <c r="I239" i="5" s="1"/>
  <c r="F242" i="5"/>
  <c r="F241" i="5" s="1"/>
  <c r="G242" i="5"/>
  <c r="H242" i="5"/>
  <c r="H241" i="5" s="1"/>
  <c r="I242" i="5"/>
  <c r="I241" i="5" s="1"/>
  <c r="F245" i="5"/>
  <c r="G245" i="5"/>
  <c r="H245" i="5"/>
  <c r="I245" i="5"/>
  <c r="F246" i="5"/>
  <c r="E123" i="4" s="1"/>
  <c r="G246" i="5"/>
  <c r="F123" i="4" s="1"/>
  <c r="H246" i="5"/>
  <c r="G123" i="4" s="1"/>
  <c r="I246" i="5"/>
  <c r="H123" i="4" s="1"/>
  <c r="F247" i="5"/>
  <c r="E124" i="4" s="1"/>
  <c r="G247" i="5"/>
  <c r="F124" i="4" s="1"/>
  <c r="H247" i="5"/>
  <c r="I247" i="5"/>
  <c r="F249" i="5"/>
  <c r="G249" i="5"/>
  <c r="H249" i="5"/>
  <c r="I249" i="5"/>
  <c r="F250" i="5"/>
  <c r="G250" i="5"/>
  <c r="F127" i="4" s="1"/>
  <c r="H250" i="5"/>
  <c r="I250" i="5"/>
  <c r="F253" i="5"/>
  <c r="F252" i="5" s="1"/>
  <c r="G253" i="5"/>
  <c r="H253" i="5"/>
  <c r="H252" i="5" s="1"/>
  <c r="I253" i="5"/>
  <c r="I252" i="5" s="1"/>
  <c r="F255" i="5"/>
  <c r="E132" i="4" s="1"/>
  <c r="G255" i="5"/>
  <c r="F132" i="4" s="1"/>
  <c r="H255" i="5"/>
  <c r="G132" i="4" s="1"/>
  <c r="I255" i="5"/>
  <c r="H132" i="4" s="1"/>
  <c r="F256" i="5"/>
  <c r="E133" i="4" s="1"/>
  <c r="G256" i="5"/>
  <c r="F133" i="4" s="1"/>
  <c r="H256" i="5"/>
  <c r="G133" i="4" s="1"/>
  <c r="I256" i="5"/>
  <c r="H133" i="4" s="1"/>
  <c r="F257" i="5"/>
  <c r="E134" i="4" s="1"/>
  <c r="G257" i="5"/>
  <c r="F134" i="4" s="1"/>
  <c r="H257" i="5"/>
  <c r="G134" i="4" s="1"/>
  <c r="I257" i="5"/>
  <c r="H134" i="4" s="1"/>
  <c r="G258" i="5"/>
  <c r="F135" i="4" s="1"/>
  <c r="H258" i="5"/>
  <c r="G135" i="4" s="1"/>
  <c r="I258" i="5"/>
  <c r="H135" i="4" s="1"/>
  <c r="F260" i="5"/>
  <c r="F259" i="5" s="1"/>
  <c r="G260" i="5"/>
  <c r="G259" i="5" s="1"/>
  <c r="H260" i="5"/>
  <c r="I260" i="5"/>
  <c r="I259" i="5" s="1"/>
  <c r="F262" i="5"/>
  <c r="F261" i="5" s="1"/>
  <c r="G262" i="5"/>
  <c r="G261" i="5" s="1"/>
  <c r="H262" i="5"/>
  <c r="I262" i="5"/>
  <c r="I261" i="5" s="1"/>
  <c r="F264" i="5"/>
  <c r="G264" i="5"/>
  <c r="H264" i="5"/>
  <c r="I264" i="5"/>
  <c r="F265" i="5"/>
  <c r="E142" i="4" s="1"/>
  <c r="G265" i="5"/>
  <c r="F142" i="4" s="1"/>
  <c r="H265" i="5"/>
  <c r="G142" i="4" s="1"/>
  <c r="I265" i="5"/>
  <c r="F266" i="5"/>
  <c r="E143" i="4" s="1"/>
  <c r="G266" i="5"/>
  <c r="F143" i="4" s="1"/>
  <c r="H266" i="5"/>
  <c r="G143" i="4" s="1"/>
  <c r="I266" i="5"/>
  <c r="H143" i="4" s="1"/>
  <c r="G267" i="5"/>
  <c r="H267" i="5"/>
  <c r="I267" i="5"/>
  <c r="H144" i="4" s="1"/>
  <c r="F269" i="5"/>
  <c r="F268" i="5" s="1"/>
  <c r="G269" i="5"/>
  <c r="G268" i="5" s="1"/>
  <c r="H269" i="5"/>
  <c r="H268" i="5" s="1"/>
  <c r="I269" i="5"/>
  <c r="I268" i="5" s="1"/>
  <c r="F271" i="5"/>
  <c r="E148" i="4" s="1"/>
  <c r="G271" i="5"/>
  <c r="H271" i="5"/>
  <c r="I271" i="5"/>
  <c r="H148" i="4" s="1"/>
  <c r="F272" i="5"/>
  <c r="E149" i="4" s="1"/>
  <c r="G272" i="5"/>
  <c r="F149" i="4" s="1"/>
  <c r="H272" i="5"/>
  <c r="G149" i="4" s="1"/>
  <c r="I272" i="5"/>
  <c r="H149" i="4" s="1"/>
  <c r="G273" i="5"/>
  <c r="H273" i="5"/>
  <c r="I273" i="5"/>
  <c r="H150" i="4" s="1"/>
  <c r="F276" i="5"/>
  <c r="G276" i="5"/>
  <c r="G275" i="5" s="1"/>
  <c r="G274" i="5" s="1"/>
  <c r="H276" i="5"/>
  <c r="H275" i="5" s="1"/>
  <c r="H274" i="5" s="1"/>
  <c r="I276" i="5"/>
  <c r="I275" i="5" s="1"/>
  <c r="I274" i="5" s="1"/>
  <c r="F279" i="5"/>
  <c r="G279" i="5"/>
  <c r="H279" i="5"/>
  <c r="I279" i="5"/>
  <c r="F280" i="5"/>
  <c r="G280" i="5"/>
  <c r="H280" i="5"/>
  <c r="I280" i="5"/>
  <c r="F283" i="5"/>
  <c r="G283" i="5"/>
  <c r="G282" i="5" s="1"/>
  <c r="H283" i="5"/>
  <c r="H282" i="5" s="1"/>
  <c r="I283" i="5"/>
  <c r="I282" i="5" s="1"/>
  <c r="F285" i="5"/>
  <c r="E162" i="4" s="1"/>
  <c r="G285" i="5"/>
  <c r="H285" i="5"/>
  <c r="I285" i="5"/>
  <c r="F286" i="5"/>
  <c r="E163" i="4" s="1"/>
  <c r="G286" i="5"/>
  <c r="F163" i="4" s="1"/>
  <c r="H286" i="5"/>
  <c r="G163" i="4" s="1"/>
  <c r="I286" i="5"/>
  <c r="H163" i="4" s="1"/>
  <c r="G287" i="5"/>
  <c r="F164" i="4" s="1"/>
  <c r="H287" i="5"/>
  <c r="I287" i="5"/>
  <c r="H164" i="4" s="1"/>
  <c r="F289" i="5"/>
  <c r="F288" i="5" s="1"/>
  <c r="G289" i="5"/>
  <c r="H289" i="5"/>
  <c r="H288" i="5" s="1"/>
  <c r="I289" i="5"/>
  <c r="I288" i="5" s="1"/>
  <c r="F291" i="5"/>
  <c r="F290" i="5" s="1"/>
  <c r="G291" i="5"/>
  <c r="H291" i="5"/>
  <c r="H290" i="5" s="1"/>
  <c r="I291" i="5"/>
  <c r="I290" i="5" s="1"/>
  <c r="F293" i="5"/>
  <c r="E170" i="4" s="1"/>
  <c r="G293" i="5"/>
  <c r="F170" i="4" s="1"/>
  <c r="H293" i="5"/>
  <c r="G170" i="4" s="1"/>
  <c r="I293" i="5"/>
  <c r="H170" i="4" s="1"/>
  <c r="F294" i="5"/>
  <c r="E171" i="4" s="1"/>
  <c r="G294" i="5"/>
  <c r="F171" i="4" s="1"/>
  <c r="H294" i="5"/>
  <c r="G171" i="4" s="1"/>
  <c r="I294" i="5"/>
  <c r="H171" i="4" s="1"/>
  <c r="G295" i="5"/>
  <c r="F172" i="4" s="1"/>
  <c r="H295" i="5"/>
  <c r="G172" i="4" s="1"/>
  <c r="I295" i="5"/>
  <c r="F297" i="5"/>
  <c r="F296" i="5" s="1"/>
  <c r="G297" i="5"/>
  <c r="G296" i="5" s="1"/>
  <c r="H297" i="5"/>
  <c r="I297" i="5"/>
  <c r="I296" i="5" s="1"/>
  <c r="F299" i="5"/>
  <c r="E176" i="4" s="1"/>
  <c r="G299" i="5"/>
  <c r="F176" i="4" s="1"/>
  <c r="H299" i="5"/>
  <c r="G176" i="4" s="1"/>
  <c r="G175" i="4" s="1"/>
  <c r="I299" i="5"/>
  <c r="H176" i="4" s="1"/>
  <c r="F300" i="5"/>
  <c r="E177" i="4" s="1"/>
  <c r="G300" i="5"/>
  <c r="F177" i="4" s="1"/>
  <c r="H300" i="5"/>
  <c r="G177" i="4" s="1"/>
  <c r="I300" i="5"/>
  <c r="H177" i="4" s="1"/>
  <c r="F304" i="5"/>
  <c r="F303" i="5" s="1"/>
  <c r="G304" i="5"/>
  <c r="G303" i="5" s="1"/>
  <c r="H304" i="5"/>
  <c r="I304" i="5"/>
  <c r="I303" i="5" s="1"/>
  <c r="F306" i="5"/>
  <c r="E184" i="4" s="1"/>
  <c r="G306" i="5"/>
  <c r="F184" i="4" s="1"/>
  <c r="H306" i="5"/>
  <c r="G184" i="4" s="1"/>
  <c r="I306" i="5"/>
  <c r="H184" i="4" s="1"/>
  <c r="F307" i="5"/>
  <c r="E185" i="4" s="1"/>
  <c r="G307" i="5"/>
  <c r="F185" i="4" s="1"/>
  <c r="H307" i="5"/>
  <c r="G185" i="4" s="1"/>
  <c r="I307" i="5"/>
  <c r="H185" i="4" s="1"/>
  <c r="F308" i="5"/>
  <c r="E186" i="4" s="1"/>
  <c r="G308" i="5"/>
  <c r="F186" i="4" s="1"/>
  <c r="H308" i="5"/>
  <c r="G186" i="4" s="1"/>
  <c r="I308" i="5"/>
  <c r="H186" i="4" s="1"/>
  <c r="G309" i="5"/>
  <c r="F187" i="4" s="1"/>
  <c r="H309" i="5"/>
  <c r="G187" i="4" s="1"/>
  <c r="I309" i="5"/>
  <c r="H187" i="4" s="1"/>
  <c r="F311" i="5"/>
  <c r="F310" i="5" s="1"/>
  <c r="G311" i="5"/>
  <c r="G310" i="5" s="1"/>
  <c r="H311" i="5"/>
  <c r="H310" i="5" s="1"/>
  <c r="I311" i="5"/>
  <c r="I310" i="5" s="1"/>
  <c r="F312" i="5"/>
  <c r="F313" i="5"/>
  <c r="G313" i="5"/>
  <c r="G312" i="5" s="1"/>
  <c r="H313" i="5"/>
  <c r="H312" i="5" s="1"/>
  <c r="I313" i="5"/>
  <c r="I312" i="5" s="1"/>
  <c r="F319" i="5"/>
  <c r="E197" i="4" s="1"/>
  <c r="G319" i="5"/>
  <c r="F197" i="4" s="1"/>
  <c r="H319" i="5"/>
  <c r="G197" i="4" s="1"/>
  <c r="I319" i="5"/>
  <c r="H197" i="4" s="1"/>
  <c r="F320" i="5"/>
  <c r="E198" i="4" s="1"/>
  <c r="G320" i="5"/>
  <c r="F198" i="4" s="1"/>
  <c r="H320" i="5"/>
  <c r="G198" i="4" s="1"/>
  <c r="I320" i="5"/>
  <c r="H198" i="4" s="1"/>
  <c r="F322" i="5"/>
  <c r="G322" i="5"/>
  <c r="H322" i="5"/>
  <c r="I322" i="5"/>
  <c r="F328" i="5"/>
  <c r="F327" i="5" s="1"/>
  <c r="F324" i="5" s="1"/>
  <c r="F321" i="5" s="1"/>
  <c r="G328" i="5"/>
  <c r="G327" i="5" s="1"/>
  <c r="G324" i="5" s="1"/>
  <c r="G321" i="5" s="1"/>
  <c r="H328" i="5"/>
  <c r="I328" i="5"/>
  <c r="I327" i="5" s="1"/>
  <c r="I324" i="5" s="1"/>
  <c r="F330" i="5"/>
  <c r="G330" i="5"/>
  <c r="H330" i="5"/>
  <c r="I330" i="5"/>
  <c r="F334" i="5"/>
  <c r="G334" i="5"/>
  <c r="H334" i="5"/>
  <c r="I334" i="5"/>
  <c r="F336" i="5"/>
  <c r="F333" i="5" s="1"/>
  <c r="G336" i="5"/>
  <c r="G333" i="5" s="1"/>
  <c r="H336" i="5"/>
  <c r="H333" i="5" s="1"/>
  <c r="I336" i="5"/>
  <c r="I333" i="5" s="1"/>
  <c r="F341" i="5"/>
  <c r="G341" i="5"/>
  <c r="F220" i="4" s="1"/>
  <c r="H341" i="5"/>
  <c r="G220" i="4" s="1"/>
  <c r="I341" i="5"/>
  <c r="H220" i="4" s="1"/>
  <c r="F342" i="5"/>
  <c r="G342" i="5"/>
  <c r="F221" i="4" s="1"/>
  <c r="H342" i="5"/>
  <c r="G221" i="4" s="1"/>
  <c r="I342" i="5"/>
  <c r="H221" i="4" s="1"/>
  <c r="F343" i="5"/>
  <c r="E222" i="4" s="1"/>
  <c r="G343" i="5"/>
  <c r="F222" i="4" s="1"/>
  <c r="H343" i="5"/>
  <c r="G222" i="4" s="1"/>
  <c r="I343" i="5"/>
  <c r="H222" i="4" s="1"/>
  <c r="F346" i="5"/>
  <c r="G346" i="5"/>
  <c r="F225" i="4" s="1"/>
  <c r="H346" i="5"/>
  <c r="G225" i="4" s="1"/>
  <c r="I346" i="5"/>
  <c r="H225" i="4" s="1"/>
  <c r="F347" i="5"/>
  <c r="E226" i="4" s="1"/>
  <c r="G347" i="5"/>
  <c r="F226" i="4" s="1"/>
  <c r="H347" i="5"/>
  <c r="G226" i="4" s="1"/>
  <c r="I347" i="5"/>
  <c r="H226" i="4" s="1"/>
  <c r="F349" i="5"/>
  <c r="G349" i="5"/>
  <c r="H349" i="5"/>
  <c r="G228" i="4" s="1"/>
  <c r="I349" i="5"/>
  <c r="F350" i="5"/>
  <c r="E229" i="4" s="1"/>
  <c r="G350" i="5"/>
  <c r="F229" i="4" s="1"/>
  <c r="H350" i="5"/>
  <c r="G229" i="4" s="1"/>
  <c r="I350" i="5"/>
  <c r="H229" i="4" s="1"/>
  <c r="F352" i="5"/>
  <c r="F351" i="5" s="1"/>
  <c r="G352" i="5"/>
  <c r="G351" i="5" s="1"/>
  <c r="H352" i="5"/>
  <c r="H351" i="5" s="1"/>
  <c r="I352" i="5"/>
  <c r="I351" i="5" s="1"/>
  <c r="F354" i="5"/>
  <c r="F353" i="5" s="1"/>
  <c r="G354" i="5"/>
  <c r="H354" i="5"/>
  <c r="H353" i="5" s="1"/>
  <c r="I354" i="5"/>
  <c r="I353" i="5" s="1"/>
  <c r="F357" i="5"/>
  <c r="F356" i="5" s="1"/>
  <c r="F355" i="5" s="1"/>
  <c r="G357" i="5"/>
  <c r="H357" i="5"/>
  <c r="H356" i="5" s="1"/>
  <c r="H355" i="5" s="1"/>
  <c r="I357" i="5"/>
  <c r="I356" i="5" s="1"/>
  <c r="I355" i="5" s="1"/>
  <c r="F358" i="5"/>
  <c r="G358" i="5"/>
  <c r="H358" i="5"/>
  <c r="I358" i="5"/>
  <c r="F363" i="5"/>
  <c r="F362" i="5" s="1"/>
  <c r="F361" i="5" s="1"/>
  <c r="G363" i="5"/>
  <c r="G362" i="5" s="1"/>
  <c r="G361" i="5" s="1"/>
  <c r="H363" i="5"/>
  <c r="H362" i="5" s="1"/>
  <c r="H361" i="5" s="1"/>
  <c r="I363" i="5"/>
  <c r="I362" i="5" s="1"/>
  <c r="I361" i="5" s="1"/>
  <c r="F364" i="5"/>
  <c r="G364" i="5"/>
  <c r="H364" i="5"/>
  <c r="I364" i="5"/>
  <c r="F373" i="5"/>
  <c r="G373" i="5"/>
  <c r="H373" i="5"/>
  <c r="I373" i="5"/>
  <c r="H376" i="5"/>
  <c r="H375" i="5" s="1"/>
  <c r="H380" i="5"/>
  <c r="H379" i="5" s="1"/>
  <c r="G397" i="5"/>
  <c r="G401" i="5"/>
  <c r="F409" i="5"/>
  <c r="F408" i="5" s="1"/>
  <c r="G409" i="5"/>
  <c r="G408" i="5" s="1"/>
  <c r="H409" i="5"/>
  <c r="H408" i="5" s="1"/>
  <c r="I409" i="5"/>
  <c r="I408" i="5" s="1"/>
  <c r="F411" i="5"/>
  <c r="F410" i="5" s="1"/>
  <c r="G411" i="5"/>
  <c r="G410" i="5" s="1"/>
  <c r="H411" i="5"/>
  <c r="H410" i="5" s="1"/>
  <c r="I411" i="5"/>
  <c r="I410" i="5" s="1"/>
  <c r="F421" i="5"/>
  <c r="F420" i="5" s="1"/>
  <c r="F418" i="5" s="1"/>
  <c r="F417" i="5" s="1"/>
  <c r="F416" i="5" s="1"/>
  <c r="G421" i="5"/>
  <c r="G420" i="5" s="1"/>
  <c r="G418" i="5" s="1"/>
  <c r="G417" i="5" s="1"/>
  <c r="G416" i="5" s="1"/>
  <c r="H421" i="5"/>
  <c r="H420" i="5" s="1"/>
  <c r="H418" i="5" s="1"/>
  <c r="H417" i="5" s="1"/>
  <c r="H416" i="5" s="1"/>
  <c r="I421" i="5"/>
  <c r="I420" i="5" s="1"/>
  <c r="I418" i="5" s="1"/>
  <c r="I417" i="5" s="1"/>
  <c r="I416" i="5" s="1"/>
  <c r="F425" i="5"/>
  <c r="G425" i="5"/>
  <c r="H425" i="5"/>
  <c r="I425" i="5"/>
  <c r="F428" i="5"/>
  <c r="G428" i="5"/>
  <c r="H428" i="5"/>
  <c r="I428" i="5"/>
  <c r="F430" i="5"/>
  <c r="G430" i="5"/>
  <c r="H430" i="5"/>
  <c r="I430" i="5"/>
  <c r="F433" i="5"/>
  <c r="F434" i="5"/>
  <c r="G434" i="5"/>
  <c r="H434" i="5"/>
  <c r="I434" i="5"/>
  <c r="F438" i="5"/>
  <c r="G438" i="5"/>
  <c r="H438" i="5"/>
  <c r="I438" i="5"/>
  <c r="F440" i="5"/>
  <c r="G440" i="5"/>
  <c r="H440" i="5"/>
  <c r="I440" i="5"/>
  <c r="F445" i="5"/>
  <c r="F444" i="5" s="1"/>
  <c r="F443" i="5" s="1"/>
  <c r="G445" i="5"/>
  <c r="G444" i="5" s="1"/>
  <c r="G443" i="5" s="1"/>
  <c r="H445" i="5"/>
  <c r="H444" i="5" s="1"/>
  <c r="H443" i="5" s="1"/>
  <c r="I445" i="5"/>
  <c r="I444" i="5" s="1"/>
  <c r="I443" i="5" s="1"/>
  <c r="F452" i="5"/>
  <c r="G452" i="5"/>
  <c r="H452" i="5"/>
  <c r="I452" i="5"/>
  <c r="F453" i="5"/>
  <c r="G453" i="5"/>
  <c r="H453" i="5"/>
  <c r="I453" i="5"/>
  <c r="F457" i="5"/>
  <c r="F456" i="5" s="1"/>
  <c r="F455" i="5" s="1"/>
  <c r="G457" i="5"/>
  <c r="G456" i="5" s="1"/>
  <c r="G455" i="5" s="1"/>
  <c r="H457" i="5"/>
  <c r="H456" i="5" s="1"/>
  <c r="H455" i="5" s="1"/>
  <c r="I457" i="5"/>
  <c r="I456" i="5" s="1"/>
  <c r="I455" i="5" s="1"/>
  <c r="G461" i="5"/>
  <c r="G460" i="5" s="1"/>
  <c r="G459" i="5" s="1"/>
  <c r="H461" i="5"/>
  <c r="H460" i="5" s="1"/>
  <c r="H459" i="5" s="1"/>
  <c r="I461" i="5"/>
  <c r="I460" i="5" s="1"/>
  <c r="I459" i="5" s="1"/>
  <c r="F464" i="5"/>
  <c r="F463" i="5" s="1"/>
  <c r="G464" i="5"/>
  <c r="G463" i="5" s="1"/>
  <c r="H464" i="5"/>
  <c r="H463" i="5" s="1"/>
  <c r="I464" i="5"/>
  <c r="I463" i="5" s="1"/>
  <c r="F472" i="5"/>
  <c r="F471" i="5" s="1"/>
  <c r="F470" i="5" s="1"/>
  <c r="F469" i="5" s="1"/>
  <c r="G472" i="5"/>
  <c r="G471" i="5" s="1"/>
  <c r="G470" i="5" s="1"/>
  <c r="G469" i="5" s="1"/>
  <c r="H472" i="5"/>
  <c r="H471" i="5" s="1"/>
  <c r="H470" i="5" s="1"/>
  <c r="H469" i="5" s="1"/>
  <c r="I472" i="5"/>
  <c r="I471" i="5" s="1"/>
  <c r="I470" i="5" s="1"/>
  <c r="I469" i="5" s="1"/>
  <c r="F475" i="5"/>
  <c r="G475" i="5"/>
  <c r="H475" i="5"/>
  <c r="I475" i="5"/>
  <c r="F478" i="5"/>
  <c r="G478" i="5"/>
  <c r="H478" i="5"/>
  <c r="I478" i="5"/>
  <c r="F482" i="5"/>
  <c r="F481" i="5" s="1"/>
  <c r="F480" i="5" s="1"/>
  <c r="F474" i="5" s="1"/>
  <c r="G482" i="5"/>
  <c r="G481" i="5" s="1"/>
  <c r="G480" i="5" s="1"/>
  <c r="H482" i="5"/>
  <c r="H481" i="5" s="1"/>
  <c r="H480" i="5" s="1"/>
  <c r="I482" i="5"/>
  <c r="I481" i="5" s="1"/>
  <c r="I480" i="5" s="1"/>
  <c r="F485" i="5"/>
  <c r="G485" i="5"/>
  <c r="H485" i="5"/>
  <c r="I485" i="5"/>
  <c r="F489" i="5"/>
  <c r="F488" i="5" s="1"/>
  <c r="F487" i="5" s="1"/>
  <c r="F484" i="5" s="1"/>
  <c r="G489" i="5"/>
  <c r="G488" i="5" s="1"/>
  <c r="G487" i="5" s="1"/>
  <c r="G484" i="5" s="1"/>
  <c r="H489" i="5"/>
  <c r="H488" i="5" s="1"/>
  <c r="H487" i="5" s="1"/>
  <c r="I489" i="5"/>
  <c r="I488" i="5" s="1"/>
  <c r="I487" i="5" s="1"/>
  <c r="I484" i="5" s="1"/>
  <c r="F490" i="5"/>
  <c r="G490" i="5"/>
  <c r="H490" i="5"/>
  <c r="I490" i="5"/>
  <c r="E225" i="6"/>
  <c r="F225" i="6"/>
  <c r="G225" i="6"/>
  <c r="E645" i="6"/>
  <c r="E644" i="6" s="1"/>
  <c r="F645" i="6"/>
  <c r="F644" i="6" s="1"/>
  <c r="G645" i="6"/>
  <c r="G644" i="6" s="1"/>
  <c r="E642" i="6"/>
  <c r="F642" i="6"/>
  <c r="G642" i="6"/>
  <c r="E640" i="6"/>
  <c r="F640" i="6"/>
  <c r="G640" i="6"/>
  <c r="E638" i="6"/>
  <c r="F638" i="6"/>
  <c r="G638" i="6"/>
  <c r="E635" i="6"/>
  <c r="F635" i="6"/>
  <c r="G635" i="6"/>
  <c r="E632" i="6"/>
  <c r="F632" i="6"/>
  <c r="G632" i="6"/>
  <c r="E629" i="6"/>
  <c r="F629" i="6"/>
  <c r="G629" i="6"/>
  <c r="E627" i="6"/>
  <c r="F627" i="6"/>
  <c r="G627" i="6"/>
  <c r="E623" i="6"/>
  <c r="F623" i="6"/>
  <c r="G623" i="6"/>
  <c r="E612" i="6"/>
  <c r="E611" i="6" s="1"/>
  <c r="F612" i="6"/>
  <c r="F611" i="6" s="1"/>
  <c r="G612" i="6"/>
  <c r="G611" i="6" s="1"/>
  <c r="H169" i="4" l="1"/>
  <c r="F126" i="4"/>
  <c r="G102" i="4"/>
  <c r="G236" i="4"/>
  <c r="G235" i="4" s="1"/>
  <c r="G234" i="4" s="1"/>
  <c r="F148" i="4"/>
  <c r="F144" i="4"/>
  <c r="F75" i="4"/>
  <c r="F69" i="4" s="1"/>
  <c r="F68" i="4" s="1"/>
  <c r="E221" i="4"/>
  <c r="E127" i="4"/>
  <c r="E139" i="4"/>
  <c r="E138" i="4" s="1"/>
  <c r="E112" i="4"/>
  <c r="E111" i="4" s="1"/>
  <c r="G141" i="4"/>
  <c r="F157" i="4"/>
  <c r="F156" i="4"/>
  <c r="G233" i="4"/>
  <c r="G232" i="4" s="1"/>
  <c r="H160" i="4"/>
  <c r="H159" i="4" s="1"/>
  <c r="H158" i="4" s="1"/>
  <c r="F162" i="4"/>
  <c r="G124" i="4"/>
  <c r="F99" i="4"/>
  <c r="F97" i="4"/>
  <c r="F92" i="4"/>
  <c r="E85" i="4"/>
  <c r="E86" i="4"/>
  <c r="E225" i="4"/>
  <c r="E224" i="4" s="1"/>
  <c r="F181" i="4"/>
  <c r="F180" i="4" s="1"/>
  <c r="E137" i="4"/>
  <c r="E136" i="4" s="1"/>
  <c r="G119" i="4"/>
  <c r="G118" i="4" s="1"/>
  <c r="H327" i="5"/>
  <c r="H324" i="5" s="1"/>
  <c r="G206" i="4"/>
  <c r="G205" i="4" s="1"/>
  <c r="G202" i="4" s="1"/>
  <c r="H303" i="5"/>
  <c r="G181" i="4"/>
  <c r="G180" i="4" s="1"/>
  <c r="H296" i="5"/>
  <c r="G174" i="4"/>
  <c r="G173" i="4" s="1"/>
  <c r="F169" i="4"/>
  <c r="G288" i="5"/>
  <c r="F166" i="4"/>
  <c r="F165" i="4" s="1"/>
  <c r="G239" i="5"/>
  <c r="F117" i="4"/>
  <c r="F116" i="4" s="1"/>
  <c r="F216" i="5"/>
  <c r="E94" i="4"/>
  <c r="E93" i="4" s="1"/>
  <c r="I203" i="5"/>
  <c r="H81" i="4"/>
  <c r="H80" i="4" s="1"/>
  <c r="E196" i="4"/>
  <c r="E195" i="4" s="1"/>
  <c r="E194" i="4" s="1"/>
  <c r="E175" i="4"/>
  <c r="G162" i="4"/>
  <c r="G150" i="4"/>
  <c r="H102" i="4"/>
  <c r="G97" i="4"/>
  <c r="G96" i="4" s="1"/>
  <c r="G92" i="4"/>
  <c r="E157" i="4"/>
  <c r="E156" i="4"/>
  <c r="E219" i="4"/>
  <c r="H175" i="4"/>
  <c r="G169" i="4"/>
  <c r="G164" i="4"/>
  <c r="G161" i="4" s="1"/>
  <c r="F150" i="4"/>
  <c r="F90" i="4"/>
  <c r="H124" i="4"/>
  <c r="F282" i="5"/>
  <c r="E160" i="4"/>
  <c r="E159" i="4" s="1"/>
  <c r="F275" i="5"/>
  <c r="F274" i="5" s="1"/>
  <c r="E153" i="4"/>
  <c r="E151" i="4" s="1"/>
  <c r="H261" i="5"/>
  <c r="G139" i="4"/>
  <c r="G138" i="4" s="1"/>
  <c r="H259" i="5"/>
  <c r="G137" i="4"/>
  <c r="G136" i="4" s="1"/>
  <c r="G252" i="5"/>
  <c r="F130" i="4"/>
  <c r="F129" i="4" s="1"/>
  <c r="G241" i="5"/>
  <c r="F119" i="4"/>
  <c r="F118" i="4" s="1"/>
  <c r="G157" i="4"/>
  <c r="G156" i="4"/>
  <c r="G155" i="4" s="1"/>
  <c r="G154" i="4" s="1"/>
  <c r="G126" i="4"/>
  <c r="H166" i="4"/>
  <c r="H165" i="4" s="1"/>
  <c r="G196" i="4"/>
  <c r="G195" i="4" s="1"/>
  <c r="G194" i="4" s="1"/>
  <c r="G290" i="5"/>
  <c r="F168" i="4"/>
  <c r="F167" i="4" s="1"/>
  <c r="F102" i="4"/>
  <c r="E90" i="4"/>
  <c r="F211" i="5"/>
  <c r="E89" i="4"/>
  <c r="E88" i="4" s="1"/>
  <c r="H190" i="5"/>
  <c r="G67" i="4"/>
  <c r="G66" i="4" s="1"/>
  <c r="H94" i="5"/>
  <c r="G89" i="4"/>
  <c r="G88" i="4" s="1"/>
  <c r="G356" i="5"/>
  <c r="G355" i="5" s="1"/>
  <c r="F236" i="4"/>
  <c r="F235" i="4" s="1"/>
  <c r="F234" i="4" s="1"/>
  <c r="G353" i="5"/>
  <c r="F233" i="4"/>
  <c r="F232" i="4" s="1"/>
  <c r="F175" i="4"/>
  <c r="G148" i="4"/>
  <c r="E106" i="4"/>
  <c r="E102" i="4"/>
  <c r="H92" i="4"/>
  <c r="F155" i="4"/>
  <c r="F154" i="4" s="1"/>
  <c r="G242" i="4"/>
  <c r="G241" i="4" s="1"/>
  <c r="G240" i="4" s="1"/>
  <c r="G239" i="4" s="1"/>
  <c r="G199" i="4"/>
  <c r="H189" i="4"/>
  <c r="H188" i="4" s="1"/>
  <c r="H155" i="4"/>
  <c r="H154" i="4" s="1"/>
  <c r="G122" i="4"/>
  <c r="F228" i="4"/>
  <c r="F227" i="4" s="1"/>
  <c r="F196" i="4"/>
  <c r="F195" i="4" s="1"/>
  <c r="F194" i="4" s="1"/>
  <c r="H162" i="4"/>
  <c r="G144" i="4"/>
  <c r="F141" i="4"/>
  <c r="H90" i="4"/>
  <c r="H87" i="4"/>
  <c r="G85" i="4"/>
  <c r="G75" i="4"/>
  <c r="G69" i="4" s="1"/>
  <c r="G68" i="4" s="1"/>
  <c r="F242" i="4"/>
  <c r="F241" i="4" s="1"/>
  <c r="F240" i="4" s="1"/>
  <c r="F239" i="4" s="1"/>
  <c r="E228" i="4"/>
  <c r="E227" i="4" s="1"/>
  <c r="H206" i="4"/>
  <c r="H205" i="4" s="1"/>
  <c r="H202" i="4" s="1"/>
  <c r="H199" i="4" s="1"/>
  <c r="G189" i="4"/>
  <c r="G188" i="4" s="1"/>
  <c r="E181" i="4"/>
  <c r="E180" i="4" s="1"/>
  <c r="G168" i="4"/>
  <c r="G167" i="4" s="1"/>
  <c r="G166" i="4"/>
  <c r="G165" i="4" s="1"/>
  <c r="G160" i="4"/>
  <c r="G159" i="4" s="1"/>
  <c r="E146" i="4"/>
  <c r="E145" i="4" s="1"/>
  <c r="H139" i="4"/>
  <c r="H138" i="4" s="1"/>
  <c r="H137" i="4"/>
  <c r="H136" i="4" s="1"/>
  <c r="F122" i="4"/>
  <c r="F121" i="4" s="1"/>
  <c r="H94" i="4"/>
  <c r="H93" i="4" s="1"/>
  <c r="F89" i="4"/>
  <c r="F88" i="4" s="1"/>
  <c r="E81" i="4"/>
  <c r="E80" i="4" s="1"/>
  <c r="H67" i="4"/>
  <c r="H66" i="4" s="1"/>
  <c r="E65" i="4"/>
  <c r="E64" i="4" s="1"/>
  <c r="H126" i="4"/>
  <c r="H112" i="4"/>
  <c r="H111" i="4" s="1"/>
  <c r="G99" i="4"/>
  <c r="G90" i="4"/>
  <c r="G87" i="4"/>
  <c r="F85" i="4"/>
  <c r="E242" i="4"/>
  <c r="E241" i="4" s="1"/>
  <c r="E240" i="4" s="1"/>
  <c r="E239" i="4" s="1"/>
  <c r="E236" i="4"/>
  <c r="E235" i="4" s="1"/>
  <c r="E234" i="4" s="1"/>
  <c r="E233" i="4"/>
  <c r="E232" i="4" s="1"/>
  <c r="E199" i="4"/>
  <c r="F189" i="4"/>
  <c r="F188" i="4" s="1"/>
  <c r="F179" i="4" s="1"/>
  <c r="F178" i="4" s="1"/>
  <c r="H181" i="4"/>
  <c r="H180" i="4" s="1"/>
  <c r="F174" i="4"/>
  <c r="F173" i="4" s="1"/>
  <c r="F160" i="4"/>
  <c r="F159" i="4" s="1"/>
  <c r="H153" i="4"/>
  <c r="E130" i="4"/>
  <c r="E129" i="4" s="1"/>
  <c r="E122" i="4"/>
  <c r="E121" i="4" s="1"/>
  <c r="E119" i="4"/>
  <c r="E118" i="4" s="1"/>
  <c r="E117" i="4"/>
  <c r="E116" i="4" s="1"/>
  <c r="G94" i="4"/>
  <c r="G93" i="4" s="1"/>
  <c r="E79" i="4"/>
  <c r="E78" i="4" s="1"/>
  <c r="H228" i="4"/>
  <c r="H196" i="4"/>
  <c r="H195" i="4" s="1"/>
  <c r="H194" i="4" s="1"/>
  <c r="H141" i="4"/>
  <c r="H140" i="4" s="1"/>
  <c r="G127" i="4"/>
  <c r="G112" i="4"/>
  <c r="G110" i="4"/>
  <c r="G109" i="4"/>
  <c r="G106" i="4" s="1"/>
  <c r="G107" i="4"/>
  <c r="F87" i="4"/>
  <c r="H74" i="4"/>
  <c r="H242" i="4"/>
  <c r="H241" i="4" s="1"/>
  <c r="H240" i="4" s="1"/>
  <c r="H239" i="4" s="1"/>
  <c r="H236" i="4"/>
  <c r="H235" i="4" s="1"/>
  <c r="H234" i="4" s="1"/>
  <c r="E231" i="4"/>
  <c r="E230" i="4" s="1"/>
  <c r="F206" i="4"/>
  <c r="F205" i="4" s="1"/>
  <c r="F202" i="4" s="1"/>
  <c r="F199" i="4" s="1"/>
  <c r="E189" i="4"/>
  <c r="E188" i="4" s="1"/>
  <c r="E174" i="4"/>
  <c r="E173" i="4" s="1"/>
  <c r="E168" i="4"/>
  <c r="E167" i="4" s="1"/>
  <c r="E166" i="4"/>
  <c r="E165" i="4" s="1"/>
  <c r="G153" i="4"/>
  <c r="F139" i="4"/>
  <c r="F138" i="4" s="1"/>
  <c r="F137" i="4"/>
  <c r="F136" i="4" s="1"/>
  <c r="H130" i="4"/>
  <c r="H129" i="4" s="1"/>
  <c r="H122" i="4"/>
  <c r="H119" i="4"/>
  <c r="H118" i="4" s="1"/>
  <c r="H117" i="4"/>
  <c r="H116" i="4" s="1"/>
  <c r="F94" i="4"/>
  <c r="F93" i="4" s="1"/>
  <c r="H89" i="4"/>
  <c r="H88" i="4" s="1"/>
  <c r="G81" i="4"/>
  <c r="G80" i="4" s="1"/>
  <c r="F67" i="4"/>
  <c r="F66" i="4" s="1"/>
  <c r="H233" i="4"/>
  <c r="H232" i="4" s="1"/>
  <c r="G121" i="4"/>
  <c r="H131" i="4"/>
  <c r="G131" i="4"/>
  <c r="F131" i="4"/>
  <c r="H231" i="4"/>
  <c r="H230" i="4" s="1"/>
  <c r="G231" i="4"/>
  <c r="G230" i="4" s="1"/>
  <c r="F231" i="4"/>
  <c r="F230" i="4" s="1"/>
  <c r="H69" i="4"/>
  <c r="H68" i="4" s="1"/>
  <c r="G227" i="4"/>
  <c r="H227" i="4"/>
  <c r="F224" i="4"/>
  <c r="G224" i="4"/>
  <c r="H224" i="4"/>
  <c r="G219" i="4"/>
  <c r="I42" i="1"/>
  <c r="I53" i="1" s="1"/>
  <c r="I8" i="1" s="1"/>
  <c r="F111" i="4"/>
  <c r="G111" i="4"/>
  <c r="F106" i="4"/>
  <c r="H106" i="4"/>
  <c r="H96" i="4"/>
  <c r="F96" i="4"/>
  <c r="H84" i="4"/>
  <c r="F84" i="4"/>
  <c r="H183" i="4"/>
  <c r="G183" i="4"/>
  <c r="F183" i="4"/>
  <c r="H219" i="4"/>
  <c r="F219" i="4"/>
  <c r="H161" i="4"/>
  <c r="F161" i="4"/>
  <c r="F140" i="4"/>
  <c r="H146" i="4"/>
  <c r="H145" i="4" s="1"/>
  <c r="G146" i="4"/>
  <c r="G145" i="4" s="1"/>
  <c r="F146" i="4"/>
  <c r="F145" i="4" s="1"/>
  <c r="H147" i="4"/>
  <c r="F147" i="4"/>
  <c r="H79" i="4"/>
  <c r="H78" i="4" s="1"/>
  <c r="H76" i="4" s="1"/>
  <c r="G79" i="4"/>
  <c r="G78" i="4" s="1"/>
  <c r="G76" i="4" s="1"/>
  <c r="F79" i="4"/>
  <c r="F78" i="4" s="1"/>
  <c r="H65" i="4"/>
  <c r="H64" i="4" s="1"/>
  <c r="G65" i="4"/>
  <c r="G64" i="4" s="1"/>
  <c r="F65" i="4"/>
  <c r="F64" i="4" s="1"/>
  <c r="I92" i="1"/>
  <c r="H92" i="1"/>
  <c r="G92" i="1"/>
  <c r="F92" i="1"/>
  <c r="C20" i="9" s="1"/>
  <c r="I54" i="1"/>
  <c r="H54" i="1"/>
  <c r="G54" i="1"/>
  <c r="F54" i="1"/>
  <c r="F8" i="1" s="1"/>
  <c r="H42" i="1"/>
  <c r="H53" i="1" s="1"/>
  <c r="H8" i="1" s="1"/>
  <c r="G42" i="1"/>
  <c r="G53" i="1" s="1"/>
  <c r="F42" i="1"/>
  <c r="D20" i="9"/>
  <c r="E20" i="9"/>
  <c r="G84" i="4"/>
  <c r="F151" i="4"/>
  <c r="F76" i="4"/>
  <c r="E76" i="4"/>
  <c r="E152" i="4"/>
  <c r="F376" i="5"/>
  <c r="F375" i="5" s="1"/>
  <c r="F278" i="5"/>
  <c r="F277" i="5" s="1"/>
  <c r="G637" i="6"/>
  <c r="F637" i="6"/>
  <c r="G348" i="5"/>
  <c r="G340" i="5"/>
  <c r="H384" i="5"/>
  <c r="H383" i="5" s="1"/>
  <c r="G284" i="5"/>
  <c r="G219" i="5"/>
  <c r="F622" i="6"/>
  <c r="G229" i="5"/>
  <c r="F213" i="5"/>
  <c r="F244" i="5"/>
  <c r="F234" i="5"/>
  <c r="G376" i="5"/>
  <c r="G375" i="5" s="1"/>
  <c r="H393" i="5"/>
  <c r="H392" i="5" s="1"/>
  <c r="F631" i="6"/>
  <c r="H298" i="5"/>
  <c r="F451" i="5"/>
  <c r="F450" i="5" s="1"/>
  <c r="I340" i="5"/>
  <c r="G278" i="5"/>
  <c r="G277" i="5" s="1"/>
  <c r="G254" i="5"/>
  <c r="F225" i="5"/>
  <c r="H131" i="5"/>
  <c r="H130" i="5" s="1"/>
  <c r="H105" i="5"/>
  <c r="H102" i="5"/>
  <c r="H44" i="5"/>
  <c r="H34" i="5"/>
  <c r="I376" i="5"/>
  <c r="I375" i="5" s="1"/>
  <c r="G384" i="5"/>
  <c r="G383" i="5" s="1"/>
  <c r="F392" i="5"/>
  <c r="G393" i="5"/>
  <c r="G392" i="5" s="1"/>
  <c r="G451" i="5"/>
  <c r="G450" i="5" s="1"/>
  <c r="G449" i="5" s="1"/>
  <c r="G448" i="5" s="1"/>
  <c r="F345" i="5"/>
  <c r="G318" i="5"/>
  <c r="G317" i="5" s="1"/>
  <c r="G316" i="5" s="1"/>
  <c r="I244" i="5"/>
  <c r="E622" i="6"/>
  <c r="F384" i="5"/>
  <c r="F383" i="5" s="1"/>
  <c r="H345" i="5"/>
  <c r="F298" i="5"/>
  <c r="F400" i="5"/>
  <c r="I284" i="5"/>
  <c r="H234" i="5"/>
  <c r="I229" i="5"/>
  <c r="G207" i="5"/>
  <c r="H61" i="5"/>
  <c r="H60" i="5" s="1"/>
  <c r="H59" i="5" s="1"/>
  <c r="H58" i="5" s="1"/>
  <c r="G631" i="6"/>
  <c r="E637" i="6"/>
  <c r="I451" i="5"/>
  <c r="I450" i="5" s="1"/>
  <c r="I449" i="5" s="1"/>
  <c r="I448" i="5" s="1"/>
  <c r="F369" i="5"/>
  <c r="F348" i="5"/>
  <c r="G345" i="5"/>
  <c r="H340" i="5"/>
  <c r="F318" i="5"/>
  <c r="F317" i="5" s="1"/>
  <c r="F316" i="5" s="1"/>
  <c r="I305" i="5"/>
  <c r="I302" i="5" s="1"/>
  <c r="I301" i="5" s="1"/>
  <c r="G298" i="5"/>
  <c r="I292" i="5"/>
  <c r="H284" i="5"/>
  <c r="H270" i="5"/>
  <c r="I254" i="5"/>
  <c r="H244" i="5"/>
  <c r="G234" i="5"/>
  <c r="H229" i="5"/>
  <c r="I225" i="5"/>
  <c r="H213" i="5"/>
  <c r="G193" i="5"/>
  <c r="G192" i="5" s="1"/>
  <c r="G184" i="5"/>
  <c r="G183" i="5" s="1"/>
  <c r="G131" i="5"/>
  <c r="G130" i="5" s="1"/>
  <c r="G105" i="5"/>
  <c r="G102" i="5"/>
  <c r="G61" i="5"/>
  <c r="G60" i="5" s="1"/>
  <c r="G59" i="5" s="1"/>
  <c r="G58" i="5" s="1"/>
  <c r="G48" i="5"/>
  <c r="G47" i="5" s="1"/>
  <c r="G44" i="5"/>
  <c r="G34" i="5"/>
  <c r="G26" i="5"/>
  <c r="G21" i="5"/>
  <c r="I270" i="5"/>
  <c r="I213" i="5"/>
  <c r="H193" i="5"/>
  <c r="H192" i="5" s="1"/>
  <c r="H184" i="5"/>
  <c r="H21" i="5"/>
  <c r="H451" i="5"/>
  <c r="H450" i="5" s="1"/>
  <c r="H449" i="5" s="1"/>
  <c r="H448" i="5" s="1"/>
  <c r="I348" i="5"/>
  <c r="I318" i="5"/>
  <c r="I317" i="5" s="1"/>
  <c r="I316" i="5" s="1"/>
  <c r="H305" i="5"/>
  <c r="H302" i="5" s="1"/>
  <c r="H301" i="5" s="1"/>
  <c r="H292" i="5"/>
  <c r="I278" i="5"/>
  <c r="I277" i="5" s="1"/>
  <c r="G270" i="5"/>
  <c r="I263" i="5"/>
  <c r="H254" i="5"/>
  <c r="G244" i="5"/>
  <c r="H225" i="5"/>
  <c r="I219" i="5"/>
  <c r="G213" i="5"/>
  <c r="I207" i="5"/>
  <c r="F184" i="5"/>
  <c r="F183" i="5" s="1"/>
  <c r="F131" i="5"/>
  <c r="F130" i="5" s="1"/>
  <c r="F105" i="5"/>
  <c r="F102" i="5"/>
  <c r="F61" i="5"/>
  <c r="F60" i="5" s="1"/>
  <c r="F59" i="5" s="1"/>
  <c r="F58" i="5" s="1"/>
  <c r="F48" i="5"/>
  <c r="F47" i="5" s="1"/>
  <c r="F44" i="5"/>
  <c r="F34" i="5"/>
  <c r="F26" i="5"/>
  <c r="F21" i="5"/>
  <c r="I384" i="5"/>
  <c r="I383" i="5" s="1"/>
  <c r="G263" i="5"/>
  <c r="H48" i="5"/>
  <c r="H47" i="5" s="1"/>
  <c r="H26" i="5"/>
  <c r="E631" i="6"/>
  <c r="H348" i="5"/>
  <c r="I345" i="5"/>
  <c r="F340" i="5"/>
  <c r="H318" i="5"/>
  <c r="H317" i="5" s="1"/>
  <c r="H316" i="5" s="1"/>
  <c r="G305" i="5"/>
  <c r="G302" i="5" s="1"/>
  <c r="G301" i="5" s="1"/>
  <c r="I298" i="5"/>
  <c r="G292" i="5"/>
  <c r="H278" i="5"/>
  <c r="H277" i="5" s="1"/>
  <c r="H263" i="5"/>
  <c r="I234" i="5"/>
  <c r="F229" i="5"/>
  <c r="G225" i="5"/>
  <c r="H219" i="5"/>
  <c r="H207" i="5"/>
  <c r="I193" i="5"/>
  <c r="I192" i="5" s="1"/>
  <c r="I184" i="5"/>
  <c r="I183" i="5" s="1"/>
  <c r="I131" i="5"/>
  <c r="I130" i="5" s="1"/>
  <c r="I105" i="5"/>
  <c r="I102" i="5"/>
  <c r="I61" i="5"/>
  <c r="I60" i="5" s="1"/>
  <c r="I59" i="5" s="1"/>
  <c r="I58" i="5" s="1"/>
  <c r="I48" i="5"/>
  <c r="I47" i="5" s="1"/>
  <c r="I44" i="5"/>
  <c r="I34" i="5"/>
  <c r="I26" i="5"/>
  <c r="I21" i="5"/>
  <c r="I393" i="5"/>
  <c r="I392" i="5" s="1"/>
  <c r="G360" i="5"/>
  <c r="G462" i="5"/>
  <c r="G424" i="5"/>
  <c r="F360" i="5"/>
  <c r="G433" i="5"/>
  <c r="H424" i="5"/>
  <c r="I462" i="5"/>
  <c r="I369" i="5"/>
  <c r="G369" i="5"/>
  <c r="H166" i="5"/>
  <c r="H134" i="5"/>
  <c r="I433" i="5"/>
  <c r="F424" i="5"/>
  <c r="F423" i="5" s="1"/>
  <c r="I360" i="5"/>
  <c r="I321" i="5"/>
  <c r="G200" i="5"/>
  <c r="G166" i="5"/>
  <c r="G163" i="5"/>
  <c r="G159" i="5" s="1"/>
  <c r="G134" i="5"/>
  <c r="G51" i="5"/>
  <c r="H484" i="5"/>
  <c r="H483" i="5" s="1"/>
  <c r="H433" i="5"/>
  <c r="I424" i="5"/>
  <c r="H360" i="5"/>
  <c r="H321" i="5"/>
  <c r="F200" i="5"/>
  <c r="F166" i="5"/>
  <c r="F163" i="5"/>
  <c r="F159" i="5" s="1"/>
  <c r="F134" i="5"/>
  <c r="G483" i="5"/>
  <c r="F462" i="5"/>
  <c r="I200" i="5"/>
  <c r="I91" i="5"/>
  <c r="I51" i="5"/>
  <c r="I12" i="5"/>
  <c r="H200" i="5"/>
  <c r="H91" i="5"/>
  <c r="H51" i="5"/>
  <c r="F483" i="5"/>
  <c r="F492" i="5"/>
  <c r="G474" i="5"/>
  <c r="G492" i="5" s="1"/>
  <c r="F447" i="5"/>
  <c r="G400" i="5"/>
  <c r="G423" i="5"/>
  <c r="G447" i="5" s="1"/>
  <c r="H474" i="5"/>
  <c r="H462" i="5"/>
  <c r="H423" i="5"/>
  <c r="H447" i="5" s="1"/>
  <c r="H369" i="5"/>
  <c r="H368" i="5" s="1"/>
  <c r="H163" i="5"/>
  <c r="H159" i="5" s="1"/>
  <c r="F51" i="5"/>
  <c r="H12" i="5"/>
  <c r="H400" i="5"/>
  <c r="I163" i="5"/>
  <c r="I159" i="5" s="1"/>
  <c r="I483" i="5"/>
  <c r="I474" i="5"/>
  <c r="I492" i="5" s="1"/>
  <c r="I400" i="5"/>
  <c r="G20" i="5"/>
  <c r="G91" i="5"/>
  <c r="G12" i="5"/>
  <c r="F91" i="5"/>
  <c r="F12" i="5"/>
  <c r="G622" i="6"/>
  <c r="E411" i="5"/>
  <c r="E409" i="5"/>
  <c r="E378" i="5"/>
  <c r="E377" i="5"/>
  <c r="C581" i="6"/>
  <c r="C580" i="6" s="1"/>
  <c r="G605" i="6"/>
  <c r="F605" i="6"/>
  <c r="E605" i="6"/>
  <c r="D605" i="6"/>
  <c r="C605" i="6"/>
  <c r="G603" i="6"/>
  <c r="F603" i="6"/>
  <c r="E603" i="6"/>
  <c r="D603" i="6"/>
  <c r="C603" i="6"/>
  <c r="G600" i="6"/>
  <c r="F600" i="6"/>
  <c r="E600" i="6"/>
  <c r="D600" i="6"/>
  <c r="C600" i="6"/>
  <c r="G598" i="6"/>
  <c r="F598" i="6"/>
  <c r="E598" i="6"/>
  <c r="D598" i="6"/>
  <c r="C598" i="6"/>
  <c r="G591" i="6"/>
  <c r="C591" i="6"/>
  <c r="G588" i="6"/>
  <c r="G587" i="6" s="1"/>
  <c r="F588" i="6"/>
  <c r="F587" i="6" s="1"/>
  <c r="E588" i="6"/>
  <c r="E587" i="6" s="1"/>
  <c r="D588" i="6"/>
  <c r="D587" i="6" s="1"/>
  <c r="C588" i="6"/>
  <c r="C587" i="6" s="1"/>
  <c r="G584" i="6"/>
  <c r="G583" i="6" s="1"/>
  <c r="F584" i="6"/>
  <c r="F583" i="6" s="1"/>
  <c r="E584" i="6"/>
  <c r="E583" i="6" s="1"/>
  <c r="D584" i="6"/>
  <c r="D583" i="6" s="1"/>
  <c r="C584" i="6"/>
  <c r="C583" i="6" s="1"/>
  <c r="G581" i="6"/>
  <c r="G580" i="6" s="1"/>
  <c r="F581" i="6"/>
  <c r="F580" i="6" s="1"/>
  <c r="E581" i="6"/>
  <c r="E580" i="6" s="1"/>
  <c r="D581" i="6"/>
  <c r="D580" i="6" s="1"/>
  <c r="B20" i="9"/>
  <c r="F20" i="9"/>
  <c r="G83" i="4" l="1"/>
  <c r="G158" i="4"/>
  <c r="G140" i="4"/>
  <c r="F158" i="4"/>
  <c r="H121" i="4"/>
  <c r="G147" i="4"/>
  <c r="E218" i="4"/>
  <c r="E215" i="4" s="1"/>
  <c r="E209" i="4" s="1"/>
  <c r="I368" i="5"/>
  <c r="H179" i="4"/>
  <c r="H178" i="4" s="1"/>
  <c r="F368" i="5"/>
  <c r="H83" i="4"/>
  <c r="H152" i="4"/>
  <c r="H151" i="4"/>
  <c r="H183" i="5"/>
  <c r="G179" i="4"/>
  <c r="G178" i="4" s="1"/>
  <c r="F83" i="4"/>
  <c r="G152" i="4"/>
  <c r="G151" i="4"/>
  <c r="E155" i="4"/>
  <c r="E154" i="4" s="1"/>
  <c r="F95" i="4"/>
  <c r="H95" i="4"/>
  <c r="G218" i="4"/>
  <c r="G215" i="4" s="1"/>
  <c r="G209" i="4" s="1"/>
  <c r="F218" i="4"/>
  <c r="F215" i="4" s="1"/>
  <c r="F209" i="4" s="1"/>
  <c r="H218" i="4"/>
  <c r="H215" i="4" s="1"/>
  <c r="H209" i="4" s="1"/>
  <c r="G8" i="1"/>
  <c r="G93" i="1" s="1"/>
  <c r="G95" i="4"/>
  <c r="I339" i="5"/>
  <c r="I338" i="5" s="1"/>
  <c r="I332" i="5" s="1"/>
  <c r="I9" i="5" s="1"/>
  <c r="H93" i="1"/>
  <c r="I93" i="1"/>
  <c r="F93" i="1"/>
  <c r="I31" i="5"/>
  <c r="I99" i="5"/>
  <c r="G281" i="5"/>
  <c r="I218" i="5"/>
  <c r="H206" i="5"/>
  <c r="F621" i="6"/>
  <c r="H218" i="5"/>
  <c r="H31" i="5"/>
  <c r="G218" i="5"/>
  <c r="E621" i="6"/>
  <c r="F99" i="5"/>
  <c r="H99" i="5"/>
  <c r="G339" i="5"/>
  <c r="G338" i="5" s="1"/>
  <c r="G332" i="5" s="1"/>
  <c r="G9" i="5" s="1"/>
  <c r="G206" i="5"/>
  <c r="G31" i="5"/>
  <c r="I281" i="5"/>
  <c r="H339" i="5"/>
  <c r="H338" i="5" s="1"/>
  <c r="H332" i="5" s="1"/>
  <c r="H9" i="5" s="1"/>
  <c r="H281" i="5"/>
  <c r="E602" i="6"/>
  <c r="F579" i="6"/>
  <c r="G368" i="5"/>
  <c r="F602" i="6"/>
  <c r="G473" i="5"/>
  <c r="F31" i="5"/>
  <c r="I206" i="5"/>
  <c r="G182" i="5"/>
  <c r="F339" i="5"/>
  <c r="F338" i="5" s="1"/>
  <c r="F332" i="5" s="1"/>
  <c r="F9" i="5" s="1"/>
  <c r="F20" i="5"/>
  <c r="H20" i="5"/>
  <c r="G99" i="5"/>
  <c r="F382" i="5"/>
  <c r="F367" i="5" s="1"/>
  <c r="F422" i="5" s="1"/>
  <c r="I473" i="5"/>
  <c r="I20" i="5"/>
  <c r="I19" i="5" s="1"/>
  <c r="I11" i="5" s="1"/>
  <c r="C602" i="6"/>
  <c r="C590" i="6" s="1"/>
  <c r="G602" i="6"/>
  <c r="G590" i="6" s="1"/>
  <c r="I182" i="5"/>
  <c r="G621" i="6"/>
  <c r="E591" i="6"/>
  <c r="E590" i="6" s="1"/>
  <c r="G382" i="5"/>
  <c r="H182" i="5"/>
  <c r="H382" i="5"/>
  <c r="H367" i="5" s="1"/>
  <c r="H422" i="5" s="1"/>
  <c r="H492" i="5"/>
  <c r="I423" i="5"/>
  <c r="I447" i="5" s="1"/>
  <c r="H473" i="5"/>
  <c r="I382" i="5"/>
  <c r="G19" i="5"/>
  <c r="G11" i="5" s="1"/>
  <c r="D579" i="6"/>
  <c r="D602" i="6"/>
  <c r="E579" i="6"/>
  <c r="F591" i="6"/>
  <c r="D591" i="6"/>
  <c r="C579" i="6"/>
  <c r="G579" i="6"/>
  <c r="E401" i="5"/>
  <c r="E414" i="5"/>
  <c r="E390" i="5"/>
  <c r="C645" i="6"/>
  <c r="C644" i="6" s="1"/>
  <c r="C642" i="6"/>
  <c r="C640" i="6"/>
  <c r="C623" i="6"/>
  <c r="C612" i="6"/>
  <c r="C611" i="6" s="1"/>
  <c r="D638" i="6"/>
  <c r="D645" i="6"/>
  <c r="D644" i="6" s="1"/>
  <c r="C638" i="6"/>
  <c r="D632" i="6"/>
  <c r="C632" i="6"/>
  <c r="D623" i="6"/>
  <c r="E39" i="5"/>
  <c r="E50" i="5"/>
  <c r="E49" i="5"/>
  <c r="D438" i="6"/>
  <c r="D437" i="6" s="1"/>
  <c r="E438" i="6"/>
  <c r="E437" i="6" s="1"/>
  <c r="F438" i="6"/>
  <c r="F437" i="6" s="1"/>
  <c r="G438" i="6"/>
  <c r="G437" i="6" s="1"/>
  <c r="C438" i="6"/>
  <c r="C437" i="6" s="1"/>
  <c r="D441" i="6"/>
  <c r="D440" i="6" s="1"/>
  <c r="E441" i="6"/>
  <c r="E440" i="6" s="1"/>
  <c r="F441" i="6"/>
  <c r="F440" i="6" s="1"/>
  <c r="G441" i="6"/>
  <c r="G440" i="6" s="1"/>
  <c r="C441" i="6"/>
  <c r="C440" i="6" s="1"/>
  <c r="D432" i="6"/>
  <c r="D431" i="6" s="1"/>
  <c r="D430" i="6" s="1"/>
  <c r="D429" i="6" s="1"/>
  <c r="D428" i="6" s="1"/>
  <c r="E432" i="6"/>
  <c r="E431" i="6" s="1"/>
  <c r="E430" i="6" s="1"/>
  <c r="E429" i="6" s="1"/>
  <c r="E428" i="6" s="1"/>
  <c r="F432" i="6"/>
  <c r="F431" i="6" s="1"/>
  <c r="F430" i="6" s="1"/>
  <c r="F429" i="6" s="1"/>
  <c r="F428" i="6" s="1"/>
  <c r="G432" i="6"/>
  <c r="G431" i="6" s="1"/>
  <c r="G430" i="6" s="1"/>
  <c r="G429" i="6" s="1"/>
  <c r="G428" i="6" s="1"/>
  <c r="C432" i="6"/>
  <c r="C431" i="6" s="1"/>
  <c r="C430" i="6" s="1"/>
  <c r="C429" i="6" s="1"/>
  <c r="C428" i="6" s="1"/>
  <c r="E33" i="5"/>
  <c r="C408" i="6"/>
  <c r="E408" i="6"/>
  <c r="F408" i="6"/>
  <c r="G408" i="6"/>
  <c r="D408" i="6"/>
  <c r="D385" i="6"/>
  <c r="D388" i="6"/>
  <c r="D390" i="6"/>
  <c r="D394" i="6"/>
  <c r="D418" i="6"/>
  <c r="D417" i="6" s="1"/>
  <c r="E418" i="6"/>
  <c r="E417" i="6" s="1"/>
  <c r="F418" i="6"/>
  <c r="F417" i="6" s="1"/>
  <c r="G418" i="6"/>
  <c r="G417" i="6" s="1"/>
  <c r="C418" i="6"/>
  <c r="C417" i="6" s="1"/>
  <c r="E18" i="5"/>
  <c r="D380" i="6"/>
  <c r="D379" i="6" s="1"/>
  <c r="D376" i="6" s="1"/>
  <c r="D375" i="6" s="1"/>
  <c r="D374" i="6" s="1"/>
  <c r="E380" i="6"/>
  <c r="E379" i="6" s="1"/>
  <c r="E376" i="6" s="1"/>
  <c r="E375" i="6" s="1"/>
  <c r="E374" i="6" s="1"/>
  <c r="F380" i="6"/>
  <c r="F379" i="6" s="1"/>
  <c r="F376" i="6" s="1"/>
  <c r="F375" i="6" s="1"/>
  <c r="F374" i="6" s="1"/>
  <c r="G380" i="6"/>
  <c r="G379" i="6" s="1"/>
  <c r="G376" i="6" s="1"/>
  <c r="G375" i="6" s="1"/>
  <c r="G374" i="6" s="1"/>
  <c r="C380" i="6"/>
  <c r="C379" i="6" s="1"/>
  <c r="C376" i="6" s="1"/>
  <c r="C375" i="6" s="1"/>
  <c r="C374" i="6" s="1"/>
  <c r="E133" i="5"/>
  <c r="E132" i="5"/>
  <c r="D248" i="6"/>
  <c r="D247" i="6" s="1"/>
  <c r="E248" i="6"/>
  <c r="E247" i="6" s="1"/>
  <c r="F248" i="6"/>
  <c r="F247" i="6" s="1"/>
  <c r="G248" i="6"/>
  <c r="G247" i="6" s="1"/>
  <c r="C248" i="6"/>
  <c r="C247" i="6" s="1"/>
  <c r="E280" i="5"/>
  <c r="E279" i="5"/>
  <c r="D105" i="6"/>
  <c r="D104" i="6" s="1"/>
  <c r="E105" i="6"/>
  <c r="E104" i="6" s="1"/>
  <c r="F105" i="6"/>
  <c r="F104" i="6" s="1"/>
  <c r="G105" i="6"/>
  <c r="G104" i="6" s="1"/>
  <c r="C105" i="6"/>
  <c r="C104" i="6" s="1"/>
  <c r="I367" i="5" l="1"/>
  <c r="I422" i="5" s="1"/>
  <c r="H19" i="5"/>
  <c r="H11" i="5" s="1"/>
  <c r="F590" i="6"/>
  <c r="F578" i="6" s="1"/>
  <c r="F577" i="6" s="1"/>
  <c r="F576" i="6" s="1"/>
  <c r="G367" i="5"/>
  <c r="G422" i="5" s="1"/>
  <c r="G578" i="6"/>
  <c r="G577" i="6" s="1"/>
  <c r="G576" i="6" s="1"/>
  <c r="F19" i="5"/>
  <c r="F11" i="5" s="1"/>
  <c r="F74" i="5" s="1"/>
  <c r="D590" i="6"/>
  <c r="D578" i="6" s="1"/>
  <c r="D577" i="6" s="1"/>
  <c r="D576" i="6" s="1"/>
  <c r="C578" i="6"/>
  <c r="C577" i="6" s="1"/>
  <c r="C576" i="6" s="1"/>
  <c r="C637" i="6"/>
  <c r="E578" i="6"/>
  <c r="G74" i="5"/>
  <c r="I74" i="5"/>
  <c r="H74" i="5"/>
  <c r="E393" i="5"/>
  <c r="E32" i="5"/>
  <c r="G436" i="6"/>
  <c r="G435" i="6" s="1"/>
  <c r="G434" i="6" s="1"/>
  <c r="F436" i="6"/>
  <c r="F435" i="6" s="1"/>
  <c r="F434" i="6" s="1"/>
  <c r="E436" i="6"/>
  <c r="E435" i="6" s="1"/>
  <c r="E434" i="6" s="1"/>
  <c r="C436" i="6"/>
  <c r="C435" i="6" s="1"/>
  <c r="C434" i="6" s="1"/>
  <c r="D436" i="6"/>
  <c r="D435" i="6" s="1"/>
  <c r="D434" i="6" s="1"/>
  <c r="D156" i="4"/>
  <c r="D157" i="4"/>
  <c r="D384" i="6"/>
  <c r="E48" i="5"/>
  <c r="E47" i="5" s="1"/>
  <c r="E131" i="5"/>
  <c r="E130" i="5" s="1"/>
  <c r="E278" i="5"/>
  <c r="E277" i="5" s="1"/>
  <c r="E577" i="6" l="1"/>
  <c r="E576" i="6" s="1"/>
  <c r="D155" i="4"/>
  <c r="D154" i="4" s="1"/>
  <c r="B8" i="9" l="1"/>
  <c r="B7" i="9" s="1"/>
  <c r="B10" i="9"/>
  <c r="B9" i="9" s="1"/>
  <c r="B12" i="9"/>
  <c r="B11" i="9" s="1"/>
  <c r="B13" i="9"/>
  <c r="B14" i="9"/>
  <c r="B16" i="9"/>
  <c r="B15" i="9" s="1"/>
  <c r="B18" i="9"/>
  <c r="B17" i="9" s="1"/>
  <c r="B19" i="9"/>
  <c r="E25" i="2"/>
  <c r="F25" i="2"/>
  <c r="F24" i="2" s="1"/>
  <c r="G25" i="2"/>
  <c r="H25" i="2"/>
  <c r="H24" i="2" s="1"/>
  <c r="D25" i="2"/>
  <c r="D24" i="2" s="1"/>
  <c r="D21" i="2" s="1"/>
  <c r="E24" i="2"/>
  <c r="G24" i="2"/>
  <c r="E62" i="1"/>
  <c r="E65" i="1"/>
  <c r="E12" i="2"/>
  <c r="F12" i="2"/>
  <c r="G12" i="2"/>
  <c r="H12" i="2"/>
  <c r="E16" i="2"/>
  <c r="E15" i="2" s="1"/>
  <c r="E14" i="2" s="1"/>
  <c r="F16" i="2"/>
  <c r="F15" i="2" s="1"/>
  <c r="F14" i="2" s="1"/>
  <c r="G16" i="2"/>
  <c r="G15" i="2" s="1"/>
  <c r="G14" i="2" s="1"/>
  <c r="H16" i="2"/>
  <c r="H15" i="2" s="1"/>
  <c r="H14" i="2" s="1"/>
  <c r="D16" i="2"/>
  <c r="D15" i="2" s="1"/>
  <c r="D14" i="2" s="1"/>
  <c r="E56" i="1"/>
  <c r="E50" i="2"/>
  <c r="F50" i="2"/>
  <c r="G50" i="2"/>
  <c r="H50" i="2"/>
  <c r="D50" i="2"/>
  <c r="E36" i="2"/>
  <c r="F36" i="2"/>
  <c r="F35" i="2" s="1"/>
  <c r="G36" i="2"/>
  <c r="G35" i="2" s="1"/>
  <c r="H36" i="2"/>
  <c r="H35" i="2" s="1"/>
  <c r="E35" i="2"/>
  <c r="D36" i="2"/>
  <c r="D35" i="2" s="1"/>
  <c r="E27" i="1"/>
  <c r="E20" i="1"/>
  <c r="E57" i="5"/>
  <c r="E56" i="5" s="1"/>
  <c r="E55" i="5"/>
  <c r="E54" i="5" s="1"/>
  <c r="E53" i="5"/>
  <c r="E52" i="5" s="1"/>
  <c r="E46" i="5"/>
  <c r="E45" i="5"/>
  <c r="E41" i="5"/>
  <c r="E40" i="5" s="1"/>
  <c r="E38" i="5"/>
  <c r="E28" i="5"/>
  <c r="E27" i="5"/>
  <c r="E25" i="5"/>
  <c r="E24" i="5" s="1"/>
  <c r="E23" i="5"/>
  <c r="E22" i="5"/>
  <c r="E421" i="5"/>
  <c r="E420" i="5" s="1"/>
  <c r="E418" i="5" s="1"/>
  <c r="D702" i="6"/>
  <c r="D699" i="6" s="1"/>
  <c r="D698" i="6" s="1"/>
  <c r="D697" i="6" s="1"/>
  <c r="E702" i="6"/>
  <c r="E699" i="6" s="1"/>
  <c r="E698" i="6" s="1"/>
  <c r="E697" i="6" s="1"/>
  <c r="F702" i="6"/>
  <c r="F699" i="6" s="1"/>
  <c r="F698" i="6" s="1"/>
  <c r="F697" i="6" s="1"/>
  <c r="G702" i="6"/>
  <c r="G699" i="6" s="1"/>
  <c r="G698" i="6" s="1"/>
  <c r="G697" i="6" s="1"/>
  <c r="D693" i="6"/>
  <c r="D692" i="6" s="1"/>
  <c r="E693" i="6"/>
  <c r="E692" i="6" s="1"/>
  <c r="F693" i="6"/>
  <c r="F692" i="6" s="1"/>
  <c r="G693" i="6"/>
  <c r="G692" i="6" s="1"/>
  <c r="C702" i="6"/>
  <c r="C699" i="6" s="1"/>
  <c r="C698" i="6" s="1"/>
  <c r="C697" i="6" s="1"/>
  <c r="C695" i="6"/>
  <c r="C694" i="6" s="1"/>
  <c r="C693" i="6" s="1"/>
  <c r="C692" i="6" s="1"/>
  <c r="C691" i="6" l="1"/>
  <c r="C690" i="6" s="1"/>
  <c r="B6" i="9"/>
  <c r="E44" i="5"/>
  <c r="E51" i="5"/>
  <c r="E26" i="5"/>
  <c r="E21" i="5"/>
  <c r="G691" i="6"/>
  <c r="G690" i="6" s="1"/>
  <c r="F691" i="6"/>
  <c r="F690" i="6" s="1"/>
  <c r="E691" i="6"/>
  <c r="E690" i="6" s="1"/>
  <c r="D691" i="6"/>
  <c r="D690" i="6" s="1"/>
  <c r="D426" i="6" l="1"/>
  <c r="E426" i="6"/>
  <c r="F426" i="6"/>
  <c r="G426" i="6"/>
  <c r="D424" i="6"/>
  <c r="E424" i="6"/>
  <c r="F424" i="6"/>
  <c r="G424" i="6"/>
  <c r="D422" i="6"/>
  <c r="E422" i="6"/>
  <c r="F422" i="6"/>
  <c r="G422" i="6"/>
  <c r="G421" i="6" s="1"/>
  <c r="D414" i="6"/>
  <c r="E414" i="6"/>
  <c r="F414" i="6"/>
  <c r="G414" i="6"/>
  <c r="D412" i="6"/>
  <c r="E412" i="6"/>
  <c r="F412" i="6"/>
  <c r="G412" i="6"/>
  <c r="D410" i="6"/>
  <c r="D407" i="6" s="1"/>
  <c r="E410" i="6"/>
  <c r="F410" i="6"/>
  <c r="F407" i="6" s="1"/>
  <c r="G410" i="6"/>
  <c r="D404" i="6"/>
  <c r="E404" i="6"/>
  <c r="F404" i="6"/>
  <c r="G404" i="6"/>
  <c r="D402" i="6"/>
  <c r="E402" i="6"/>
  <c r="F402" i="6"/>
  <c r="G402" i="6"/>
  <c r="D399" i="6"/>
  <c r="D398" i="6" s="1"/>
  <c r="E399" i="6"/>
  <c r="E398" i="6" s="1"/>
  <c r="F399" i="6"/>
  <c r="F398" i="6" s="1"/>
  <c r="G399" i="6"/>
  <c r="C402" i="6"/>
  <c r="C399" i="6"/>
  <c r="C426" i="6"/>
  <c r="C422" i="6"/>
  <c r="C424" i="6"/>
  <c r="C414" i="6"/>
  <c r="C412" i="6"/>
  <c r="G407" i="6" l="1"/>
  <c r="E407" i="6"/>
  <c r="D421" i="6"/>
  <c r="D393" i="6" s="1"/>
  <c r="D383" i="6" s="1"/>
  <c r="D382" i="6" s="1"/>
  <c r="E421" i="6"/>
  <c r="G398" i="6"/>
  <c r="F421" i="6"/>
  <c r="C421" i="6"/>
  <c r="C410" i="6"/>
  <c r="C407" i="6" s="1"/>
  <c r="C404" i="6"/>
  <c r="C398" i="6" s="1"/>
  <c r="G394" i="6"/>
  <c r="F394" i="6"/>
  <c r="E394" i="6"/>
  <c r="E393" i="6" s="1"/>
  <c r="C394" i="6"/>
  <c r="G390" i="6"/>
  <c r="F390" i="6"/>
  <c r="E390" i="6"/>
  <c r="C390" i="6"/>
  <c r="G388" i="6"/>
  <c r="F388" i="6"/>
  <c r="E388" i="6"/>
  <c r="C388" i="6"/>
  <c r="G385" i="6"/>
  <c r="F385" i="6"/>
  <c r="E385" i="6"/>
  <c r="C385" i="6"/>
  <c r="E30" i="5"/>
  <c r="E29" i="5" s="1"/>
  <c r="E20" i="5" s="1"/>
  <c r="D463" i="6"/>
  <c r="E463" i="6"/>
  <c r="F463" i="6"/>
  <c r="G463" i="6"/>
  <c r="C463" i="6"/>
  <c r="C461" i="6" s="1"/>
  <c r="E482" i="5"/>
  <c r="E481" i="5" s="1"/>
  <c r="D357" i="6"/>
  <c r="E357" i="6"/>
  <c r="F357" i="6"/>
  <c r="G357" i="6"/>
  <c r="D360" i="6"/>
  <c r="E360" i="6"/>
  <c r="F360" i="6"/>
  <c r="G360" i="6"/>
  <c r="D363" i="6"/>
  <c r="D362" i="6" s="1"/>
  <c r="E363" i="6"/>
  <c r="E362" i="6" s="1"/>
  <c r="F363" i="6"/>
  <c r="F362" i="6" s="1"/>
  <c r="G363" i="6"/>
  <c r="G362" i="6" s="1"/>
  <c r="C363" i="6"/>
  <c r="E413" i="5"/>
  <c r="E412" i="5" s="1"/>
  <c r="D317" i="6"/>
  <c r="E317" i="6"/>
  <c r="F317" i="6"/>
  <c r="G317" i="6"/>
  <c r="D314" i="6"/>
  <c r="D313" i="6" s="1"/>
  <c r="E314" i="6"/>
  <c r="E313" i="6" s="1"/>
  <c r="F314" i="6"/>
  <c r="F313" i="6" s="1"/>
  <c r="G314" i="6"/>
  <c r="G313" i="6" s="1"/>
  <c r="C317" i="6"/>
  <c r="C316" i="6" s="1"/>
  <c r="C314" i="6"/>
  <c r="C313" i="6" s="1"/>
  <c r="D138" i="6"/>
  <c r="E138" i="6"/>
  <c r="F138" i="6"/>
  <c r="G138" i="6"/>
  <c r="E311" i="5"/>
  <c r="D189" i="4" s="1"/>
  <c r="D188" i="4" s="1"/>
  <c r="C138" i="6"/>
  <c r="E266" i="5"/>
  <c r="D143" i="4" s="1"/>
  <c r="C90" i="6"/>
  <c r="E247" i="5"/>
  <c r="D124" i="4" s="1"/>
  <c r="C71" i="6"/>
  <c r="E204" i="5"/>
  <c r="E203" i="5" s="1"/>
  <c r="D30" i="6"/>
  <c r="E30" i="6"/>
  <c r="F30" i="6"/>
  <c r="G30" i="6"/>
  <c r="C30" i="6"/>
  <c r="D253" i="4"/>
  <c r="D251" i="4" s="1"/>
  <c r="D250" i="4" s="1"/>
  <c r="D249" i="4" s="1"/>
  <c r="D191" i="4"/>
  <c r="D190" i="4" s="1"/>
  <c r="D200" i="4"/>
  <c r="D207" i="4"/>
  <c r="D211" i="4"/>
  <c r="D213" i="4"/>
  <c r="D216" i="4"/>
  <c r="D237" i="4"/>
  <c r="D243" i="4"/>
  <c r="D71" i="2"/>
  <c r="D70" i="2" s="1"/>
  <c r="F71" i="2"/>
  <c r="F70" i="2" s="1"/>
  <c r="G71" i="2"/>
  <c r="G70" i="2" s="1"/>
  <c r="H71" i="2"/>
  <c r="H70" i="2" s="1"/>
  <c r="E71" i="2"/>
  <c r="E11" i="1"/>
  <c r="E13" i="1"/>
  <c r="E18" i="1"/>
  <c r="E25" i="1"/>
  <c r="E24" i="1" s="1"/>
  <c r="E31" i="1"/>
  <c r="E30" i="1" s="1"/>
  <c r="E35" i="1"/>
  <c r="E34" i="1" s="1"/>
  <c r="E39" i="1"/>
  <c r="E38" i="1" s="1"/>
  <c r="E37" i="1" s="1"/>
  <c r="C13" i="9"/>
  <c r="E43" i="1"/>
  <c r="E47" i="1"/>
  <c r="E46" i="1" s="1"/>
  <c r="E51" i="1"/>
  <c r="E50" i="1" s="1"/>
  <c r="E49" i="1" s="1"/>
  <c r="C14" i="9"/>
  <c r="E55" i="1"/>
  <c r="E60" i="1"/>
  <c r="E59" i="1" s="1"/>
  <c r="E63" i="1"/>
  <c r="E68" i="1"/>
  <c r="E67" i="1" s="1"/>
  <c r="E71" i="1"/>
  <c r="E76" i="1"/>
  <c r="E75" i="1" s="1"/>
  <c r="E74" i="1" s="1"/>
  <c r="E79" i="1" s="1"/>
  <c r="C18" i="9"/>
  <c r="C17" i="9" s="1"/>
  <c r="E82" i="1"/>
  <c r="E81" i="1" s="1"/>
  <c r="E80" i="1" s="1"/>
  <c r="E84" i="1" s="1"/>
  <c r="C19" i="9"/>
  <c r="E87" i="1"/>
  <c r="E86" i="1" s="1"/>
  <c r="E90" i="1"/>
  <c r="E89" i="1" s="1"/>
  <c r="F73" i="2"/>
  <c r="F72" i="2" s="1"/>
  <c r="G73" i="2"/>
  <c r="G72" i="2" s="1"/>
  <c r="H73" i="2"/>
  <c r="H72" i="2" s="1"/>
  <c r="C393" i="6" l="1"/>
  <c r="G393" i="6"/>
  <c r="F69" i="2"/>
  <c r="F68" i="2" s="1"/>
  <c r="C10" i="9"/>
  <c r="C9" i="9" s="1"/>
  <c r="E17" i="1"/>
  <c r="E16" i="1" s="1"/>
  <c r="E33" i="1" s="1"/>
  <c r="G69" i="2"/>
  <c r="G68" i="2" s="1"/>
  <c r="C8" i="9"/>
  <c r="C7" i="9" s="1"/>
  <c r="H69" i="2"/>
  <c r="H68" i="2" s="1"/>
  <c r="E54" i="1"/>
  <c r="E73" i="1" s="1"/>
  <c r="D73" i="2"/>
  <c r="D72" i="2" s="1"/>
  <c r="D69" i="2" s="1"/>
  <c r="D68" i="2" s="1"/>
  <c r="G12" i="3" s="1"/>
  <c r="E10" i="1"/>
  <c r="E9" i="1" s="1"/>
  <c r="E15" i="1" s="1"/>
  <c r="F393" i="6"/>
  <c r="E384" i="6"/>
  <c r="E383" i="6" s="1"/>
  <c r="E382" i="6" s="1"/>
  <c r="C384" i="6"/>
  <c r="F384" i="6"/>
  <c r="G384" i="6"/>
  <c r="G356" i="6"/>
  <c r="G355" i="6" s="1"/>
  <c r="F356" i="6"/>
  <c r="F355" i="6" s="1"/>
  <c r="E356" i="6"/>
  <c r="E355" i="6" s="1"/>
  <c r="D356" i="6"/>
  <c r="D355" i="6" s="1"/>
  <c r="E310" i="5"/>
  <c r="D81" i="4"/>
  <c r="D80" i="4" s="1"/>
  <c r="D210" i="4"/>
  <c r="E85" i="1"/>
  <c r="E92" i="1" s="1"/>
  <c r="E42" i="1"/>
  <c r="E53" i="1" s="1"/>
  <c r="C12" i="9" l="1"/>
  <c r="C11" i="9" s="1"/>
  <c r="C16" i="9"/>
  <c r="C15" i="9" s="1"/>
  <c r="G383" i="6"/>
  <c r="G382" i="6" s="1"/>
  <c r="F383" i="6"/>
  <c r="F382" i="6" s="1"/>
  <c r="E8" i="1"/>
  <c r="E93" i="1" s="1"/>
  <c r="C383" i="6"/>
  <c r="C382" i="6" s="1"/>
  <c r="E73" i="2"/>
  <c r="E72" i="2" s="1"/>
  <c r="D12" i="2"/>
  <c r="D20" i="2"/>
  <c r="D19" i="2" s="1"/>
  <c r="D18" i="2" s="1"/>
  <c r="E20" i="2"/>
  <c r="E19" i="2" s="1"/>
  <c r="E18" i="2" s="1"/>
  <c r="D23" i="2"/>
  <c r="D22" i="2" s="1"/>
  <c r="E23" i="2"/>
  <c r="E22" i="2" s="1"/>
  <c r="E21" i="2" s="1"/>
  <c r="D28" i="2"/>
  <c r="D27" i="2" s="1"/>
  <c r="D26" i="2" s="1"/>
  <c r="E28" i="2"/>
  <c r="E27" i="2" s="1"/>
  <c r="E26" i="2" s="1"/>
  <c r="D30" i="2"/>
  <c r="E30" i="2"/>
  <c r="D34" i="2"/>
  <c r="D33" i="2" s="1"/>
  <c r="D32" i="2" s="1"/>
  <c r="E34" i="2"/>
  <c r="E33" i="2" s="1"/>
  <c r="E32" i="2" s="1"/>
  <c r="D42" i="2"/>
  <c r="E42" i="2"/>
  <c r="D43" i="2"/>
  <c r="E43" i="2"/>
  <c r="D44" i="2"/>
  <c r="E44" i="2"/>
  <c r="D47" i="2"/>
  <c r="E47" i="2"/>
  <c r="D49" i="2"/>
  <c r="D48" i="2" s="1"/>
  <c r="E49" i="2"/>
  <c r="D53" i="2"/>
  <c r="D52" i="2" s="1"/>
  <c r="D51" i="2" s="1"/>
  <c r="E53" i="2"/>
  <c r="E52" i="2" s="1"/>
  <c r="E51" i="2" s="1"/>
  <c r="D58" i="2"/>
  <c r="D57" i="2" s="1"/>
  <c r="E58" i="2"/>
  <c r="E57" i="2" s="1"/>
  <c r="D60" i="2"/>
  <c r="D59" i="2" s="1"/>
  <c r="E60" i="2"/>
  <c r="E59" i="2" s="1"/>
  <c r="D63" i="2"/>
  <c r="D62" i="2" s="1"/>
  <c r="D61" i="2" s="1"/>
  <c r="E63" i="2"/>
  <c r="E62" i="2" s="1"/>
  <c r="E61" i="2" s="1"/>
  <c r="D67" i="2"/>
  <c r="D66" i="2" s="1"/>
  <c r="D65" i="2" s="1"/>
  <c r="D64" i="2" s="1"/>
  <c r="E67" i="2"/>
  <c r="E66" i="2" s="1"/>
  <c r="E65" i="2" s="1"/>
  <c r="E64" i="2" s="1"/>
  <c r="E70" i="2"/>
  <c r="E15" i="5"/>
  <c r="E14" i="5" s="1"/>
  <c r="E13" i="5" s="1"/>
  <c r="E17" i="5"/>
  <c r="E16" i="5" s="1"/>
  <c r="E83" i="5"/>
  <c r="E86" i="5"/>
  <c r="E85" i="5" s="1"/>
  <c r="E84" i="5" s="1"/>
  <c r="E89" i="5"/>
  <c r="E88" i="5" s="1"/>
  <c r="E87" i="5" s="1"/>
  <c r="E93" i="5"/>
  <c r="E92" i="5" s="1"/>
  <c r="E95" i="5"/>
  <c r="E94" i="5" s="1"/>
  <c r="E97" i="5"/>
  <c r="E96" i="5" s="1"/>
  <c r="E101" i="5"/>
  <c r="E100" i="5" s="1"/>
  <c r="E103" i="5"/>
  <c r="E106" i="5"/>
  <c r="E108" i="5"/>
  <c r="E110" i="5"/>
  <c r="E112" i="5"/>
  <c r="E117" i="5"/>
  <c r="E118" i="5"/>
  <c r="E124" i="5"/>
  <c r="E123" i="5" s="1"/>
  <c r="E126" i="5"/>
  <c r="E125" i="5" s="1"/>
  <c r="E129" i="5"/>
  <c r="E128" i="5" s="1"/>
  <c r="E137" i="5"/>
  <c r="E136" i="5" s="1"/>
  <c r="E138" i="5"/>
  <c r="E145" i="5"/>
  <c r="E144" i="5" s="1"/>
  <c r="E151" i="5"/>
  <c r="E150" i="5" s="1"/>
  <c r="E154" i="5"/>
  <c r="E156" i="5"/>
  <c r="E161" i="5"/>
  <c r="E160" i="5" s="1"/>
  <c r="E164" i="5"/>
  <c r="E167" i="5"/>
  <c r="E170" i="5"/>
  <c r="E174" i="5"/>
  <c r="E176" i="5"/>
  <c r="E178" i="5"/>
  <c r="E185" i="5"/>
  <c r="E186" i="5"/>
  <c r="D62" i="4" s="1"/>
  <c r="E189" i="5"/>
  <c r="E191" i="5"/>
  <c r="E194" i="5"/>
  <c r="D70" i="4" s="1"/>
  <c r="E195" i="5"/>
  <c r="D71" i="4" s="1"/>
  <c r="E196" i="5"/>
  <c r="D72" i="4" s="1"/>
  <c r="E197" i="5"/>
  <c r="D73" i="4" s="1"/>
  <c r="E198" i="5"/>
  <c r="E202" i="5"/>
  <c r="E208" i="5"/>
  <c r="E209" i="5"/>
  <c r="D86" i="4" s="1"/>
  <c r="E212" i="5"/>
  <c r="E214" i="5"/>
  <c r="D91" i="4" s="1"/>
  <c r="E217" i="5"/>
  <c r="E220" i="5"/>
  <c r="E221" i="5"/>
  <c r="E222" i="5"/>
  <c r="D99" i="4" s="1"/>
  <c r="E223" i="5"/>
  <c r="D100" i="4" s="1"/>
  <c r="E226" i="5"/>
  <c r="E227" i="5"/>
  <c r="E230" i="5"/>
  <c r="D107" i="4" s="1"/>
  <c r="E231" i="5"/>
  <c r="D108" i="4" s="1"/>
  <c r="E232" i="5"/>
  <c r="E235" i="5"/>
  <c r="E236" i="5"/>
  <c r="D113" i="4" s="1"/>
  <c r="E237" i="5"/>
  <c r="D114" i="4" s="1"/>
  <c r="E240" i="5"/>
  <c r="D117" i="4" s="1"/>
  <c r="D116" i="4" s="1"/>
  <c r="E242" i="5"/>
  <c r="D119" i="4" s="1"/>
  <c r="D118" i="4" s="1"/>
  <c r="E245" i="5"/>
  <c r="D122" i="4" s="1"/>
  <c r="E249" i="5"/>
  <c r="E250" i="5"/>
  <c r="E253" i="5"/>
  <c r="D130" i="4" s="1"/>
  <c r="D129" i="4" s="1"/>
  <c r="E255" i="5"/>
  <c r="D132" i="4" s="1"/>
  <c r="E256" i="5"/>
  <c r="E257" i="5"/>
  <c r="D134" i="4" s="1"/>
  <c r="E260" i="5"/>
  <c r="E262" i="5"/>
  <c r="E264" i="5"/>
  <c r="E265" i="5"/>
  <c r="D142" i="4" s="1"/>
  <c r="E269" i="5"/>
  <c r="E268" i="5" s="1"/>
  <c r="E271" i="5"/>
  <c r="D148" i="4" s="1"/>
  <c r="E272" i="5"/>
  <c r="D149" i="4" s="1"/>
  <c r="E276" i="5"/>
  <c r="D153" i="4" s="1"/>
  <c r="E283" i="5"/>
  <c r="E285" i="5"/>
  <c r="E286" i="5"/>
  <c r="D163" i="4" s="1"/>
  <c r="E289" i="5"/>
  <c r="D166" i="4" s="1"/>
  <c r="E291" i="5"/>
  <c r="E293" i="5"/>
  <c r="E294" i="5"/>
  <c r="D171" i="4" s="1"/>
  <c r="E297" i="5"/>
  <c r="E299" i="5"/>
  <c r="E300" i="5"/>
  <c r="D177" i="4" s="1"/>
  <c r="E304" i="5"/>
  <c r="D181" i="4" s="1"/>
  <c r="D180" i="4" s="1"/>
  <c r="E306" i="5"/>
  <c r="D184" i="4" s="1"/>
  <c r="E307" i="5"/>
  <c r="E308" i="5"/>
  <c r="D186" i="4" s="1"/>
  <c r="E313" i="5"/>
  <c r="E312" i="5" s="1"/>
  <c r="E319" i="5"/>
  <c r="E320" i="5"/>
  <c r="D198" i="4" s="1"/>
  <c r="E322" i="5"/>
  <c r="E328" i="5"/>
  <c r="E330" i="5"/>
  <c r="E334" i="5"/>
  <c r="E336" i="5"/>
  <c r="E333" i="5" s="1"/>
  <c r="E341" i="5"/>
  <c r="E342" i="5"/>
  <c r="E343" i="5"/>
  <c r="D222" i="4" s="1"/>
  <c r="E346" i="5"/>
  <c r="E347" i="5"/>
  <c r="E349" i="5"/>
  <c r="E350" i="5"/>
  <c r="D229" i="4" s="1"/>
  <c r="E352" i="5"/>
  <c r="E351" i="5" s="1"/>
  <c r="E354" i="5"/>
  <c r="D233" i="4" s="1"/>
  <c r="D232" i="4" s="1"/>
  <c r="E357" i="5"/>
  <c r="E358" i="5"/>
  <c r="E363" i="5"/>
  <c r="E362" i="5" s="1"/>
  <c r="E361" i="5" s="1"/>
  <c r="E364" i="5"/>
  <c r="E370" i="5"/>
  <c r="E380" i="5"/>
  <c r="E379" i="5" s="1"/>
  <c r="E384" i="5"/>
  <c r="E388" i="5"/>
  <c r="E397" i="5"/>
  <c r="E392" i="5" s="1"/>
  <c r="E408" i="5"/>
  <c r="E410" i="5"/>
  <c r="E417" i="5"/>
  <c r="E416" i="5" s="1"/>
  <c r="E425" i="5"/>
  <c r="E428" i="5"/>
  <c r="E430" i="5"/>
  <c r="E434" i="5"/>
  <c r="E438" i="5"/>
  <c r="E440" i="5"/>
  <c r="E445" i="5"/>
  <c r="E444" i="5" s="1"/>
  <c r="E443" i="5" s="1"/>
  <c r="E452" i="5"/>
  <c r="E453" i="5"/>
  <c r="E457" i="5"/>
  <c r="E456" i="5" s="1"/>
  <c r="E455" i="5" s="1"/>
  <c r="E464" i="5"/>
  <c r="E463" i="5" s="1"/>
  <c r="E472" i="5"/>
  <c r="E471" i="5" s="1"/>
  <c r="E470" i="5" s="1"/>
  <c r="E469" i="5" s="1"/>
  <c r="E475" i="5"/>
  <c r="E478" i="5"/>
  <c r="E480" i="5"/>
  <c r="E485" i="5"/>
  <c r="E489" i="5"/>
  <c r="E488" i="5" s="1"/>
  <c r="E487" i="5" s="1"/>
  <c r="E490" i="5"/>
  <c r="D97" i="4" l="1"/>
  <c r="C6" i="9"/>
  <c r="E211" i="5"/>
  <c r="D89" i="4"/>
  <c r="D88" i="4" s="1"/>
  <c r="E400" i="5"/>
  <c r="E383" i="5"/>
  <c r="D103" i="4"/>
  <c r="D139" i="4"/>
  <c r="D138" i="4" s="1"/>
  <c r="D109" i="4"/>
  <c r="E11" i="2"/>
  <c r="D11" i="2"/>
  <c r="E48" i="2"/>
  <c r="E46" i="2" s="1"/>
  <c r="E45" i="2" s="1"/>
  <c r="E69" i="2"/>
  <c r="E68" i="2" s="1"/>
  <c r="H12" i="3" s="1"/>
  <c r="D112" i="4"/>
  <c r="D162" i="4"/>
  <c r="E433" i="5"/>
  <c r="D85" i="4"/>
  <c r="E353" i="5"/>
  <c r="E348" i="5"/>
  <c r="E340" i="5"/>
  <c r="E252" i="5"/>
  <c r="E82" i="5"/>
  <c r="E360" i="5"/>
  <c r="E474" i="5"/>
  <c r="E166" i="5"/>
  <c r="E163" i="5" s="1"/>
  <c r="E159" i="5" s="1"/>
  <c r="E484" i="5"/>
  <c r="E483" i="5" s="1"/>
  <c r="E451" i="5"/>
  <c r="E450" i="5" s="1"/>
  <c r="E424" i="5"/>
  <c r="E376" i="5"/>
  <c r="E375" i="5" s="1"/>
  <c r="D74" i="4"/>
  <c r="E153" i="5"/>
  <c r="E134" i="5"/>
  <c r="E356" i="5"/>
  <c r="E355" i="5" s="1"/>
  <c r="D236" i="4"/>
  <c r="D235" i="4" s="1"/>
  <c r="D234" i="4" s="1"/>
  <c r="D141" i="4"/>
  <c r="D98" i="4"/>
  <c r="D79" i="4"/>
  <c r="D78" i="4" s="1"/>
  <c r="D76" i="4" s="1"/>
  <c r="E318" i="5"/>
  <c r="E317" i="5" s="1"/>
  <c r="E316" i="5" s="1"/>
  <c r="D197" i="4"/>
  <c r="D196" i="4" s="1"/>
  <c r="D195" i="4" s="1"/>
  <c r="D194" i="4" s="1"/>
  <c r="D185" i="4"/>
  <c r="E296" i="5"/>
  <c r="D174" i="4"/>
  <c r="D173" i="4" s="1"/>
  <c r="E290" i="5"/>
  <c r="D168" i="4"/>
  <c r="D167" i="4" s="1"/>
  <c r="D151" i="4"/>
  <c r="D152" i="4"/>
  <c r="E259" i="5"/>
  <c r="D137" i="4"/>
  <c r="D136" i="4" s="1"/>
  <c r="E216" i="5"/>
  <c r="D94" i="4"/>
  <c r="D93" i="4" s="1"/>
  <c r="E12" i="5"/>
  <c r="E462" i="5"/>
  <c r="E345" i="5"/>
  <c r="D226" i="4"/>
  <c r="E327" i="5"/>
  <c r="E324" i="5" s="1"/>
  <c r="E321" i="5" s="1"/>
  <c r="D206" i="4"/>
  <c r="D205" i="4" s="1"/>
  <c r="D202" i="4" s="1"/>
  <c r="D199" i="4" s="1"/>
  <c r="E303" i="5"/>
  <c r="E298" i="5"/>
  <c r="D176" i="4"/>
  <c r="D175" i="4" s="1"/>
  <c r="D170" i="4"/>
  <c r="E288" i="5"/>
  <c r="D165" i="4"/>
  <c r="E282" i="5"/>
  <c r="D160" i="4"/>
  <c r="D159" i="4" s="1"/>
  <c r="E275" i="5"/>
  <c r="E274" i="5" s="1"/>
  <c r="E261" i="5"/>
  <c r="D133" i="4"/>
  <c r="E241" i="5"/>
  <c r="E239" i="5"/>
  <c r="E190" i="5"/>
  <c r="E201" i="5"/>
  <c r="E200" i="5" s="1"/>
  <c r="E188" i="5"/>
  <c r="D65" i="4"/>
  <c r="D64" i="4" s="1"/>
  <c r="E184" i="5"/>
  <c r="D46" i="2"/>
  <c r="D45" i="2" s="1"/>
  <c r="D56" i="2"/>
  <c r="D55" i="2" s="1"/>
  <c r="E41" i="2"/>
  <c r="E40" i="2" s="1"/>
  <c r="E39" i="2" s="1"/>
  <c r="E56" i="2"/>
  <c r="E55" i="2" s="1"/>
  <c r="D41" i="2"/>
  <c r="D40" i="2" s="1"/>
  <c r="D39" i="2" s="1"/>
  <c r="E91" i="5"/>
  <c r="C11" i="6"/>
  <c r="C15" i="6"/>
  <c r="D15" i="6"/>
  <c r="C17" i="6"/>
  <c r="D17" i="6"/>
  <c r="D26" i="6"/>
  <c r="C28" i="6"/>
  <c r="C27" i="6" s="1"/>
  <c r="D28" i="6"/>
  <c r="D27" i="6" s="1"/>
  <c r="D37" i="6"/>
  <c r="F210" i="5" s="1"/>
  <c r="C38" i="6"/>
  <c r="D38" i="6"/>
  <c r="C43" i="6"/>
  <c r="D43" i="6"/>
  <c r="D51" i="6"/>
  <c r="F224" i="5" s="1"/>
  <c r="E238" i="5"/>
  <c r="D115" i="4" s="1"/>
  <c r="C66" i="6"/>
  <c r="D66" i="6"/>
  <c r="C68" i="6"/>
  <c r="D68" i="6"/>
  <c r="E246" i="5"/>
  <c r="D123" i="4" s="1"/>
  <c r="D78" i="6"/>
  <c r="F251" i="5" s="1"/>
  <c r="C79" i="6"/>
  <c r="D79" i="6"/>
  <c r="D85" i="6"/>
  <c r="F258" i="5" s="1"/>
  <c r="C86" i="6"/>
  <c r="D86" i="6"/>
  <c r="C88" i="6"/>
  <c r="D88" i="6"/>
  <c r="D94" i="6"/>
  <c r="F267" i="5" s="1"/>
  <c r="C95" i="6"/>
  <c r="D95" i="6"/>
  <c r="E273" i="5"/>
  <c r="D150" i="4" s="1"/>
  <c r="D100" i="6"/>
  <c r="C102" i="6"/>
  <c r="C101" i="6" s="1"/>
  <c r="D102" i="6"/>
  <c r="D101" i="6" s="1"/>
  <c r="C109" i="6"/>
  <c r="D109" i="6"/>
  <c r="D114" i="6"/>
  <c r="C115" i="6"/>
  <c r="D115" i="6"/>
  <c r="C117" i="6"/>
  <c r="D117" i="6"/>
  <c r="D122" i="6"/>
  <c r="C123" i="6"/>
  <c r="D123" i="6"/>
  <c r="C125" i="6"/>
  <c r="D125" i="6"/>
  <c r="C130" i="6"/>
  <c r="D130" i="6"/>
  <c r="D137" i="6"/>
  <c r="F309" i="5" s="1"/>
  <c r="C141" i="6"/>
  <c r="C140" i="6" s="1"/>
  <c r="D141" i="6"/>
  <c r="D140" i="6" s="1"/>
  <c r="C145" i="6"/>
  <c r="C144" i="6" s="1"/>
  <c r="C143" i="6" s="1"/>
  <c r="D145" i="6"/>
  <c r="D144" i="6" s="1"/>
  <c r="D143" i="6" s="1"/>
  <c r="C149" i="6"/>
  <c r="D149" i="6"/>
  <c r="C154" i="6"/>
  <c r="C151" i="6" s="1"/>
  <c r="D154" i="6"/>
  <c r="D151" i="6" s="1"/>
  <c r="C157" i="6"/>
  <c r="D157" i="6"/>
  <c r="C162" i="6"/>
  <c r="C161" i="6" s="1"/>
  <c r="D162" i="6"/>
  <c r="D161" i="6" s="1"/>
  <c r="C164" i="6"/>
  <c r="D164" i="6"/>
  <c r="C168" i="6"/>
  <c r="D168" i="6"/>
  <c r="C173" i="6"/>
  <c r="D173" i="6"/>
  <c r="C176" i="6"/>
  <c r="D176" i="6"/>
  <c r="C179" i="6"/>
  <c r="D179" i="6"/>
  <c r="C181" i="6"/>
  <c r="D181" i="6"/>
  <c r="C183" i="6"/>
  <c r="D183" i="6"/>
  <c r="C184" i="6"/>
  <c r="D184" i="6"/>
  <c r="C186" i="6"/>
  <c r="D186" i="6"/>
  <c r="C190" i="6"/>
  <c r="C189" i="6" s="1"/>
  <c r="D190" i="6"/>
  <c r="D189" i="6" s="1"/>
  <c r="C192" i="6"/>
  <c r="D192" i="6"/>
  <c r="E79" i="5"/>
  <c r="E78" i="5" s="1"/>
  <c r="D199" i="6"/>
  <c r="F79" i="5" s="1"/>
  <c r="C202" i="6"/>
  <c r="D202" i="6"/>
  <c r="C205" i="6"/>
  <c r="C204" i="6" s="1"/>
  <c r="D205" i="6"/>
  <c r="D204" i="6" s="1"/>
  <c r="C208" i="6"/>
  <c r="C207" i="6" s="1"/>
  <c r="D208" i="6"/>
  <c r="D207" i="6" s="1"/>
  <c r="C212" i="6"/>
  <c r="D212" i="6"/>
  <c r="C214" i="6"/>
  <c r="D214" i="6"/>
  <c r="C216" i="6"/>
  <c r="D216" i="6"/>
  <c r="C220" i="6"/>
  <c r="D220" i="6"/>
  <c r="E104" i="5"/>
  <c r="D104" i="4" s="1"/>
  <c r="C227" i="6"/>
  <c r="E107" i="5" s="1"/>
  <c r="E105" i="5" s="1"/>
  <c r="D236" i="6"/>
  <c r="F119" i="5" s="1"/>
  <c r="F116" i="5" s="1"/>
  <c r="F114" i="5" s="1"/>
  <c r="F90" i="5" s="1"/>
  <c r="C240" i="6"/>
  <c r="D240" i="6"/>
  <c r="C242" i="6"/>
  <c r="D242" i="6"/>
  <c r="C245" i="6"/>
  <c r="D245" i="6"/>
  <c r="C252" i="6"/>
  <c r="C251" i="6" s="1"/>
  <c r="D252" i="6"/>
  <c r="D251" i="6" s="1"/>
  <c r="C261" i="6"/>
  <c r="C260" i="6" s="1"/>
  <c r="D261" i="6"/>
  <c r="D260" i="6" s="1"/>
  <c r="C267" i="6"/>
  <c r="C266" i="6" s="1"/>
  <c r="D267" i="6"/>
  <c r="D266" i="6" s="1"/>
  <c r="C270" i="6"/>
  <c r="D270" i="6"/>
  <c r="C272" i="6"/>
  <c r="D272" i="6"/>
  <c r="C275" i="6"/>
  <c r="D275" i="6"/>
  <c r="C279" i="6"/>
  <c r="C278" i="6" s="1"/>
  <c r="D279" i="6"/>
  <c r="D278" i="6" s="1"/>
  <c r="C282" i="6"/>
  <c r="D282" i="6"/>
  <c r="C284" i="6"/>
  <c r="D284" i="6"/>
  <c r="C291" i="6"/>
  <c r="D291" i="6"/>
  <c r="C293" i="6"/>
  <c r="D293" i="6"/>
  <c r="C299" i="6"/>
  <c r="C298" i="6" s="1"/>
  <c r="D299" i="6"/>
  <c r="D298" i="6" s="1"/>
  <c r="C303" i="6"/>
  <c r="D303" i="6"/>
  <c r="C306" i="6"/>
  <c r="C305" i="6" s="1"/>
  <c r="D306" i="6"/>
  <c r="D305" i="6" s="1"/>
  <c r="C309" i="6"/>
  <c r="C308" i="6" s="1"/>
  <c r="D309" i="6"/>
  <c r="D308" i="6" s="1"/>
  <c r="C320" i="6"/>
  <c r="C319" i="6" s="1"/>
  <c r="D320" i="6"/>
  <c r="D319" i="6" s="1"/>
  <c r="C324" i="6"/>
  <c r="C323" i="6" s="1"/>
  <c r="D324" i="6"/>
  <c r="D323" i="6" s="1"/>
  <c r="C328" i="6"/>
  <c r="D328" i="6"/>
  <c r="C342" i="6"/>
  <c r="C341" i="6" s="1"/>
  <c r="D342" i="6"/>
  <c r="D341" i="6" s="1"/>
  <c r="C346" i="6"/>
  <c r="D346" i="6"/>
  <c r="C350" i="6"/>
  <c r="C349" i="6" s="1"/>
  <c r="C348" i="6" s="1"/>
  <c r="D350" i="6"/>
  <c r="D349" i="6" s="1"/>
  <c r="D348" i="6" s="1"/>
  <c r="C357" i="6"/>
  <c r="C360" i="6"/>
  <c r="C362" i="6"/>
  <c r="C367" i="6"/>
  <c r="D367" i="6"/>
  <c r="C372" i="6"/>
  <c r="C369" i="6" s="1"/>
  <c r="D372" i="6"/>
  <c r="D369" i="6" s="1"/>
  <c r="C448" i="6"/>
  <c r="D448" i="6"/>
  <c r="C451" i="6"/>
  <c r="D451" i="6"/>
  <c r="C453" i="6"/>
  <c r="D453" i="6"/>
  <c r="C457" i="6"/>
  <c r="D457" i="6"/>
  <c r="D461" i="6"/>
  <c r="E36" i="5"/>
  <c r="E37" i="5"/>
  <c r="E62" i="5"/>
  <c r="C495" i="6"/>
  <c r="C494" i="6" s="1"/>
  <c r="D495" i="6"/>
  <c r="D494" i="6" s="1"/>
  <c r="C497" i="6"/>
  <c r="D497" i="6"/>
  <c r="C500" i="6"/>
  <c r="C499" i="6" s="1"/>
  <c r="D500" i="6"/>
  <c r="D499" i="6" s="1"/>
  <c r="C503" i="6"/>
  <c r="D503" i="6"/>
  <c r="C505" i="6"/>
  <c r="D505" i="6"/>
  <c r="C507" i="6"/>
  <c r="D507" i="6"/>
  <c r="C514" i="6"/>
  <c r="C513" i="6" s="1"/>
  <c r="D514" i="6"/>
  <c r="D513" i="6" s="1"/>
  <c r="C516" i="6"/>
  <c r="D516" i="6"/>
  <c r="C519" i="6"/>
  <c r="C518" i="6" s="1"/>
  <c r="D519" i="6"/>
  <c r="D518" i="6" s="1"/>
  <c r="C522" i="6"/>
  <c r="D522" i="6"/>
  <c r="C524" i="6"/>
  <c r="D524" i="6"/>
  <c r="C526" i="6"/>
  <c r="D526" i="6"/>
  <c r="C533" i="6"/>
  <c r="C532" i="6" s="1"/>
  <c r="D533" i="6"/>
  <c r="D532" i="6" s="1"/>
  <c r="C535" i="6"/>
  <c r="D535" i="6"/>
  <c r="C538" i="6"/>
  <c r="C537" i="6" s="1"/>
  <c r="D538" i="6"/>
  <c r="D537" i="6" s="1"/>
  <c r="C541" i="6"/>
  <c r="D541" i="6"/>
  <c r="C543" i="6"/>
  <c r="D543" i="6"/>
  <c r="C545" i="6"/>
  <c r="D545" i="6"/>
  <c r="C552" i="6"/>
  <c r="C551" i="6" s="1"/>
  <c r="D552" i="6"/>
  <c r="D551" i="6" s="1"/>
  <c r="C555" i="6"/>
  <c r="C554" i="6" s="1"/>
  <c r="D555" i="6"/>
  <c r="D554" i="6" s="1"/>
  <c r="C559" i="6"/>
  <c r="C558" i="6" s="1"/>
  <c r="D559" i="6"/>
  <c r="D558" i="6" s="1"/>
  <c r="C563" i="6"/>
  <c r="D563" i="6"/>
  <c r="C565" i="6"/>
  <c r="D565" i="6"/>
  <c r="C567" i="6"/>
  <c r="D567" i="6"/>
  <c r="C569" i="6"/>
  <c r="D569" i="6"/>
  <c r="C572" i="6"/>
  <c r="D572" i="6"/>
  <c r="C574" i="6"/>
  <c r="D574" i="6"/>
  <c r="D612" i="6"/>
  <c r="D611" i="6" s="1"/>
  <c r="C615" i="6"/>
  <c r="C614" i="6" s="1"/>
  <c r="C610" i="6" s="1"/>
  <c r="D615" i="6"/>
  <c r="D614" i="6" s="1"/>
  <c r="C619" i="6"/>
  <c r="C618" i="6" s="1"/>
  <c r="D619" i="6"/>
  <c r="D618" i="6" s="1"/>
  <c r="C627" i="6"/>
  <c r="D627" i="6"/>
  <c r="C629" i="6"/>
  <c r="E373" i="5" s="1"/>
  <c r="E369" i="5" s="1"/>
  <c r="D629" i="6"/>
  <c r="C635" i="6"/>
  <c r="C631" i="6" s="1"/>
  <c r="D635" i="6"/>
  <c r="D631" i="6" s="1"/>
  <c r="D640" i="6"/>
  <c r="D642" i="6"/>
  <c r="C651" i="6"/>
  <c r="D651" i="6"/>
  <c r="C654" i="6"/>
  <c r="D654" i="6"/>
  <c r="C657" i="6"/>
  <c r="D657" i="6"/>
  <c r="C662" i="6"/>
  <c r="C659" i="6" s="1"/>
  <c r="D662" i="6"/>
  <c r="D659" i="6" s="1"/>
  <c r="E461" i="5"/>
  <c r="E460" i="5" s="1"/>
  <c r="E459" i="5" s="1"/>
  <c r="D668" i="6"/>
  <c r="F461" i="5" s="1"/>
  <c r="C672" i="6"/>
  <c r="C671" i="6" s="1"/>
  <c r="D672" i="6"/>
  <c r="D671" i="6" s="1"/>
  <c r="C677" i="6"/>
  <c r="D677" i="6"/>
  <c r="C680" i="6"/>
  <c r="D680" i="6"/>
  <c r="C682" i="6"/>
  <c r="D682" i="6"/>
  <c r="C684" i="6"/>
  <c r="D684" i="6"/>
  <c r="C688" i="6"/>
  <c r="C687" i="6" s="1"/>
  <c r="C686" i="6" s="1"/>
  <c r="D688" i="6"/>
  <c r="D687" i="6" s="1"/>
  <c r="D686" i="6" s="1"/>
  <c r="E480" i="6"/>
  <c r="G199" i="6"/>
  <c r="I79" i="5" s="1"/>
  <c r="F199" i="6"/>
  <c r="H79" i="5" s="1"/>
  <c r="E199" i="6"/>
  <c r="G79" i="5" s="1"/>
  <c r="F662" i="6"/>
  <c r="G662" i="6"/>
  <c r="F667" i="6"/>
  <c r="F665" i="6" s="1"/>
  <c r="G667" i="6"/>
  <c r="G665" i="6" s="1"/>
  <c r="E662" i="6"/>
  <c r="E659" i="6" s="1"/>
  <c r="E667" i="6"/>
  <c r="E665" i="6" s="1"/>
  <c r="G688" i="6"/>
  <c r="G687" i="6" s="1"/>
  <c r="G686" i="6" s="1"/>
  <c r="F688" i="6"/>
  <c r="F687" i="6" s="1"/>
  <c r="F686" i="6" s="1"/>
  <c r="E688" i="6"/>
  <c r="E687" i="6" s="1"/>
  <c r="E686" i="6" s="1"/>
  <c r="G684" i="6"/>
  <c r="F684" i="6"/>
  <c r="E684" i="6"/>
  <c r="G682" i="6"/>
  <c r="F682" i="6"/>
  <c r="E682" i="6"/>
  <c r="G680" i="6"/>
  <c r="F680" i="6"/>
  <c r="E680" i="6"/>
  <c r="G677" i="6"/>
  <c r="F677" i="6"/>
  <c r="E677" i="6"/>
  <c r="G619" i="6"/>
  <c r="G618" i="6" s="1"/>
  <c r="F619" i="6"/>
  <c r="F618" i="6" s="1"/>
  <c r="E619" i="6"/>
  <c r="E618" i="6" s="1"/>
  <c r="G615" i="6"/>
  <c r="G614" i="6" s="1"/>
  <c r="G610" i="6" s="1"/>
  <c r="G609" i="6" s="1"/>
  <c r="G608" i="6" s="1"/>
  <c r="F615" i="6"/>
  <c r="F614" i="6" s="1"/>
  <c r="F610" i="6" s="1"/>
  <c r="F609" i="6" s="1"/>
  <c r="F608" i="6" s="1"/>
  <c r="E615" i="6"/>
  <c r="E614" i="6" s="1"/>
  <c r="E610" i="6" s="1"/>
  <c r="E609" i="6" s="1"/>
  <c r="E608" i="6" s="1"/>
  <c r="F480" i="6"/>
  <c r="G480" i="6"/>
  <c r="F342" i="6"/>
  <c r="G342" i="6"/>
  <c r="E342" i="6"/>
  <c r="G44" i="2"/>
  <c r="H44" i="2"/>
  <c r="F44" i="2"/>
  <c r="G43" i="2"/>
  <c r="H43" i="2"/>
  <c r="F43" i="2"/>
  <c r="H78" i="5" l="1"/>
  <c r="H77" i="5" s="1"/>
  <c r="H76" i="5" s="1"/>
  <c r="G61" i="4"/>
  <c r="G60" i="4" s="1"/>
  <c r="G59" i="4" s="1"/>
  <c r="G58" i="4" s="1"/>
  <c r="F78" i="5"/>
  <c r="F77" i="5" s="1"/>
  <c r="F76" i="5" s="1"/>
  <c r="F75" i="5" s="1"/>
  <c r="F180" i="5" s="1"/>
  <c r="E61" i="4"/>
  <c r="E60" i="4" s="1"/>
  <c r="E59" i="4" s="1"/>
  <c r="F305" i="5"/>
  <c r="F302" i="5" s="1"/>
  <c r="F301" i="5" s="1"/>
  <c r="E187" i="4"/>
  <c r="E183" i="4" s="1"/>
  <c r="E179" i="4" s="1"/>
  <c r="E178" i="4" s="1"/>
  <c r="F219" i="5"/>
  <c r="F218" i="5" s="1"/>
  <c r="E101" i="4"/>
  <c r="E96" i="4" s="1"/>
  <c r="E95" i="4" s="1"/>
  <c r="G78" i="5"/>
  <c r="G77" i="5" s="1"/>
  <c r="G76" i="5" s="1"/>
  <c r="F61" i="4"/>
  <c r="F60" i="4" s="1"/>
  <c r="F59" i="4" s="1"/>
  <c r="F58" i="4" s="1"/>
  <c r="I78" i="5"/>
  <c r="I77" i="5" s="1"/>
  <c r="I76" i="5" s="1"/>
  <c r="H61" i="4"/>
  <c r="H60" i="4" s="1"/>
  <c r="H59" i="4" s="1"/>
  <c r="H58" i="4" s="1"/>
  <c r="F263" i="5"/>
  <c r="E144" i="4"/>
  <c r="E140" i="4" s="1"/>
  <c r="F248" i="5"/>
  <c r="E128" i="4"/>
  <c r="F207" i="5"/>
  <c r="F206" i="5" s="1"/>
  <c r="E87" i="4"/>
  <c r="E84" i="4" s="1"/>
  <c r="E83" i="4" s="1"/>
  <c r="F460" i="5"/>
  <c r="F459" i="5" s="1"/>
  <c r="F449" i="5" s="1"/>
  <c r="F448" i="5" s="1"/>
  <c r="F473" i="5" s="1"/>
  <c r="E126" i="4"/>
  <c r="E125" i="4" s="1"/>
  <c r="F254" i="5"/>
  <c r="E135" i="4"/>
  <c r="E131" i="4" s="1"/>
  <c r="C622" i="6"/>
  <c r="E382" i="5"/>
  <c r="F273" i="5"/>
  <c r="F287" i="5"/>
  <c r="F199" i="5"/>
  <c r="F295" i="5"/>
  <c r="C621" i="6"/>
  <c r="C609" i="6" s="1"/>
  <c r="C608" i="6" s="1"/>
  <c r="D637" i="6"/>
  <c r="D622" i="6"/>
  <c r="D447" i="6"/>
  <c r="C447" i="6"/>
  <c r="E10" i="2"/>
  <c r="H11" i="3" s="1"/>
  <c r="H10" i="3" s="1"/>
  <c r="E423" i="5"/>
  <c r="E447" i="5" s="1"/>
  <c r="C356" i="6"/>
  <c r="C355" i="6" s="1"/>
  <c r="E449" i="5"/>
  <c r="E448" i="5" s="1"/>
  <c r="E473" i="5" s="1"/>
  <c r="B33" i="9" s="1"/>
  <c r="B32" i="9" s="1"/>
  <c r="C571" i="6"/>
  <c r="D121" i="4"/>
  <c r="D119" i="6"/>
  <c r="E492" i="5"/>
  <c r="B35" i="9" s="1"/>
  <c r="B34" i="9" s="1"/>
  <c r="E183" i="5"/>
  <c r="D340" i="6"/>
  <c r="D339" i="6" s="1"/>
  <c r="D338" i="6" s="1"/>
  <c r="D322" i="6"/>
  <c r="D269" i="6"/>
  <c r="D71" i="6"/>
  <c r="E244" i="5"/>
  <c r="E368" i="5"/>
  <c r="E251" i="5"/>
  <c r="E248" i="5" s="1"/>
  <c r="C75" i="6"/>
  <c r="D650" i="6"/>
  <c r="D225" i="6"/>
  <c r="D222" i="6"/>
  <c r="D148" i="6"/>
  <c r="E339" i="5"/>
  <c r="E338" i="5" s="1"/>
  <c r="E332" i="5" s="1"/>
  <c r="C281" i="6"/>
  <c r="C277" i="6" s="1"/>
  <c r="C225" i="6"/>
  <c r="C222" i="6"/>
  <c r="E77" i="5"/>
  <c r="E76" i="5" s="1"/>
  <c r="C167" i="6"/>
  <c r="C166" i="6" s="1"/>
  <c r="C160" i="6"/>
  <c r="C148" i="6"/>
  <c r="C97" i="6"/>
  <c r="D67" i="4"/>
  <c r="D66" i="4" s="1"/>
  <c r="C650" i="6"/>
  <c r="C531" i="6"/>
  <c r="D188" i="6"/>
  <c r="D610" i="6"/>
  <c r="D571" i="6"/>
  <c r="D493" i="6"/>
  <c r="D366" i="6"/>
  <c r="D365" i="6" s="1"/>
  <c r="D111" i="6"/>
  <c r="C493" i="6"/>
  <c r="C366" i="6"/>
  <c r="C365" i="6" s="1"/>
  <c r="D147" i="4"/>
  <c r="D676" i="6"/>
  <c r="D675" i="6" s="1"/>
  <c r="D674" i="6" s="1"/>
  <c r="C512" i="6"/>
  <c r="D297" i="6"/>
  <c r="D296" i="6" s="1"/>
  <c r="E102" i="5"/>
  <c r="E99" i="5" s="1"/>
  <c r="D111" i="4"/>
  <c r="C10" i="6"/>
  <c r="C33" i="9"/>
  <c r="C32" i="9" s="1"/>
  <c r="D667" i="6"/>
  <c r="D665" i="6" s="1"/>
  <c r="D656" i="6" s="1"/>
  <c r="D484" i="6"/>
  <c r="D480" i="6"/>
  <c r="C550" i="6"/>
  <c r="E287" i="5"/>
  <c r="D164" i="4" s="1"/>
  <c r="C111" i="6"/>
  <c r="D11" i="6"/>
  <c r="D10" i="6" s="1"/>
  <c r="D531" i="6"/>
  <c r="D198" i="6"/>
  <c r="D197" i="6" s="1"/>
  <c r="D196" i="6" s="1"/>
  <c r="C133" i="6"/>
  <c r="C129" i="6" s="1"/>
  <c r="E309" i="5"/>
  <c r="E295" i="5"/>
  <c r="C119" i="6"/>
  <c r="E267" i="5"/>
  <c r="C676" i="6"/>
  <c r="C675" i="6" s="1"/>
  <c r="C674" i="6" s="1"/>
  <c r="C233" i="6"/>
  <c r="C231" i="6" s="1"/>
  <c r="E119" i="5"/>
  <c r="E116" i="5" s="1"/>
  <c r="E114" i="5" s="1"/>
  <c r="D56" i="6"/>
  <c r="D46" i="6"/>
  <c r="D40" i="6"/>
  <c r="D34" i="6"/>
  <c r="C466" i="6"/>
  <c r="E35" i="5"/>
  <c r="D126" i="4" s="1"/>
  <c r="D81" i="6"/>
  <c r="D61" i="6"/>
  <c r="C56" i="6"/>
  <c r="E233" i="5"/>
  <c r="D110" i="4" s="1"/>
  <c r="C34" i="6"/>
  <c r="E210" i="5"/>
  <c r="D87" i="4" s="1"/>
  <c r="D540" i="6"/>
  <c r="D502" i="6"/>
  <c r="D488" i="6"/>
  <c r="D487" i="6" s="1"/>
  <c r="D486" i="6" s="1"/>
  <c r="D482" i="6"/>
  <c r="D477" i="6"/>
  <c r="D472" i="6"/>
  <c r="C340" i="6"/>
  <c r="C339" i="6" s="1"/>
  <c r="C338" i="6" s="1"/>
  <c r="C322" i="6"/>
  <c r="C269" i="6"/>
  <c r="D211" i="6"/>
  <c r="C81" i="6"/>
  <c r="E258" i="5"/>
  <c r="D52" i="6"/>
  <c r="E234" i="5"/>
  <c r="E270" i="5"/>
  <c r="D61" i="4"/>
  <c r="D60" i="4" s="1"/>
  <c r="C484" i="6"/>
  <c r="E69" i="5"/>
  <c r="C480" i="6"/>
  <c r="E65" i="5"/>
  <c r="D220" i="4"/>
  <c r="C46" i="6"/>
  <c r="E224" i="5"/>
  <c r="D101" i="4" s="1"/>
  <c r="C40" i="6"/>
  <c r="E215" i="5"/>
  <c r="D92" i="4" s="1"/>
  <c r="C667" i="6"/>
  <c r="C562" i="6"/>
  <c r="C540" i="6"/>
  <c r="C521" i="6"/>
  <c r="C502" i="6"/>
  <c r="C488" i="6"/>
  <c r="C487" i="6" s="1"/>
  <c r="C486" i="6" s="1"/>
  <c r="E73" i="5"/>
  <c r="C482" i="6"/>
  <c r="E67" i="5"/>
  <c r="D228" i="4" s="1"/>
  <c r="C477" i="6"/>
  <c r="E63" i="5"/>
  <c r="D221" i="4" s="1"/>
  <c r="C472" i="6"/>
  <c r="E43" i="5"/>
  <c r="D127" i="4"/>
  <c r="C297" i="6"/>
  <c r="C296" i="6" s="1"/>
  <c r="D281" i="6"/>
  <c r="D277" i="6" s="1"/>
  <c r="D233" i="6"/>
  <c r="D231" i="6" s="1"/>
  <c r="C211" i="6"/>
  <c r="C198" i="6"/>
  <c r="C197" i="6" s="1"/>
  <c r="C196" i="6" s="1"/>
  <c r="C188" i="6"/>
  <c r="D160" i="6"/>
  <c r="D133" i="6"/>
  <c r="D129" i="6" s="1"/>
  <c r="D128" i="6" s="1"/>
  <c r="D97" i="6"/>
  <c r="D90" i="6"/>
  <c r="D75" i="6"/>
  <c r="C61" i="6"/>
  <c r="C52" i="6"/>
  <c r="E228" i="5"/>
  <c r="D20" i="6"/>
  <c r="D19" i="6" s="1"/>
  <c r="C20" i="6"/>
  <c r="C19" i="6" s="1"/>
  <c r="E199" i="5"/>
  <c r="D10" i="2"/>
  <c r="C35" i="9"/>
  <c r="C34" i="9" s="1"/>
  <c r="D562" i="6"/>
  <c r="D466" i="6"/>
  <c r="D550" i="6"/>
  <c r="D167" i="6"/>
  <c r="D166" i="6" s="1"/>
  <c r="D521" i="6"/>
  <c r="D512" i="6"/>
  <c r="F676" i="6"/>
  <c r="F675" i="6" s="1"/>
  <c r="F674" i="6" s="1"/>
  <c r="E676" i="6"/>
  <c r="E675" i="6" s="1"/>
  <c r="E674" i="6" s="1"/>
  <c r="G676" i="6"/>
  <c r="G675" i="6" s="1"/>
  <c r="G674" i="6" s="1"/>
  <c r="G236" i="6"/>
  <c r="I119" i="5" s="1"/>
  <c r="I116" i="5" s="1"/>
  <c r="I114" i="5" s="1"/>
  <c r="I90" i="5" s="1"/>
  <c r="I75" i="5" s="1"/>
  <c r="I180" i="5" s="1"/>
  <c r="F236" i="6"/>
  <c r="H119" i="5" s="1"/>
  <c r="H116" i="5" s="1"/>
  <c r="H114" i="5" s="1"/>
  <c r="H90" i="5" s="1"/>
  <c r="H75" i="5" s="1"/>
  <c r="H180" i="5" s="1"/>
  <c r="E236" i="6"/>
  <c r="G119" i="5" s="1"/>
  <c r="G116" i="5" s="1"/>
  <c r="G114" i="5" s="1"/>
  <c r="G90" i="5" s="1"/>
  <c r="G75" i="5" s="1"/>
  <c r="G180" i="5" s="1"/>
  <c r="G11" i="6"/>
  <c r="F11" i="6"/>
  <c r="F28" i="6"/>
  <c r="F27" i="6" s="1"/>
  <c r="G28" i="6"/>
  <c r="G27" i="6" s="1"/>
  <c r="F17" i="6"/>
  <c r="G17" i="6"/>
  <c r="F15" i="6"/>
  <c r="G15" i="6"/>
  <c r="F284" i="5" l="1"/>
  <c r="E164" i="4"/>
  <c r="E161" i="4" s="1"/>
  <c r="F193" i="5"/>
  <c r="F192" i="5" s="1"/>
  <c r="F182" i="5" s="1"/>
  <c r="E75" i="4"/>
  <c r="E69" i="4" s="1"/>
  <c r="E68" i="4" s="1"/>
  <c r="E58" i="4" s="1"/>
  <c r="F292" i="5"/>
  <c r="F281" i="5" s="1"/>
  <c r="E172" i="4"/>
  <c r="E169" i="4" s="1"/>
  <c r="F270" i="5"/>
  <c r="F243" i="5" s="1"/>
  <c r="E150" i="4"/>
  <c r="E147" i="4" s="1"/>
  <c r="E120" i="4" s="1"/>
  <c r="D621" i="6"/>
  <c r="D609" i="6" s="1"/>
  <c r="D608" i="6" s="1"/>
  <c r="D607" i="6" s="1"/>
  <c r="C27" i="9"/>
  <c r="C26" i="9" s="1"/>
  <c r="E90" i="5"/>
  <c r="E75" i="5" s="1"/>
  <c r="E180" i="5" s="1"/>
  <c r="B27" i="9" s="1"/>
  <c r="B26" i="9" s="1"/>
  <c r="D108" i="6"/>
  <c r="E263" i="5"/>
  <c r="D144" i="4"/>
  <c r="D140" i="4" s="1"/>
  <c r="E74" i="2"/>
  <c r="D74" i="2"/>
  <c r="G11" i="3"/>
  <c r="G10" i="3" s="1"/>
  <c r="C561" i="6"/>
  <c r="C549" i="6" s="1"/>
  <c r="C548" i="6" s="1"/>
  <c r="C547" i="6" s="1"/>
  <c r="C128" i="6"/>
  <c r="D511" i="6"/>
  <c r="D510" i="6" s="1"/>
  <c r="D509" i="6" s="1"/>
  <c r="C354" i="6"/>
  <c r="C219" i="6"/>
  <c r="C210" i="6" s="1"/>
  <c r="D295" i="6"/>
  <c r="C492" i="6"/>
  <c r="C491" i="6" s="1"/>
  <c r="C490" i="6" s="1"/>
  <c r="D219" i="6"/>
  <c r="C9" i="6"/>
  <c r="D649" i="6"/>
  <c r="D648" i="6" s="1"/>
  <c r="D647" i="6" s="1"/>
  <c r="C530" i="6"/>
  <c r="C529" i="6" s="1"/>
  <c r="C528" i="6" s="1"/>
  <c r="E367" i="5"/>
  <c r="E422" i="5" s="1"/>
  <c r="B31" i="9" s="1"/>
  <c r="B30" i="9" s="1"/>
  <c r="D561" i="6"/>
  <c r="D549" i="6" s="1"/>
  <c r="D548" i="6" s="1"/>
  <c r="D547" i="6" s="1"/>
  <c r="D492" i="6"/>
  <c r="D491" i="6" s="1"/>
  <c r="D490" i="6" s="1"/>
  <c r="C70" i="6"/>
  <c r="C159" i="6"/>
  <c r="D70" i="6"/>
  <c r="C33" i="6"/>
  <c r="C295" i="6"/>
  <c r="C45" i="6"/>
  <c r="C607" i="6"/>
  <c r="C476" i="6"/>
  <c r="C475" i="6" s="1"/>
  <c r="C474" i="6" s="1"/>
  <c r="D33" i="6"/>
  <c r="D530" i="6"/>
  <c r="D529" i="6" s="1"/>
  <c r="D528" i="6" s="1"/>
  <c r="D159" i="6"/>
  <c r="D354" i="6"/>
  <c r="C465" i="6"/>
  <c r="C456" i="6" s="1"/>
  <c r="C446" i="6" s="1"/>
  <c r="C665" i="6"/>
  <c r="C656" i="6" s="1"/>
  <c r="C649" i="6" s="1"/>
  <c r="C648" i="6" s="1"/>
  <c r="C647" i="6" s="1"/>
  <c r="C511" i="6"/>
  <c r="C510" i="6" s="1"/>
  <c r="C509" i="6" s="1"/>
  <c r="D128" i="4"/>
  <c r="D125" i="4" s="1"/>
  <c r="D225" i="4"/>
  <c r="D224" i="4" s="1"/>
  <c r="E64" i="5"/>
  <c r="D135" i="4"/>
  <c r="D131" i="4" s="1"/>
  <c r="E254" i="5"/>
  <c r="D465" i="6"/>
  <c r="D242" i="4"/>
  <c r="D241" i="4" s="1"/>
  <c r="D240" i="4" s="1"/>
  <c r="D239" i="4" s="1"/>
  <c r="E72" i="5"/>
  <c r="E71" i="5" s="1"/>
  <c r="E70" i="5" s="1"/>
  <c r="E34" i="5"/>
  <c r="D219" i="4"/>
  <c r="D231" i="4"/>
  <c r="D230" i="4" s="1"/>
  <c r="E68" i="5"/>
  <c r="D59" i="4"/>
  <c r="D476" i="6"/>
  <c r="D475" i="6" s="1"/>
  <c r="D474" i="6" s="1"/>
  <c r="D84" i="4"/>
  <c r="E207" i="5"/>
  <c r="D172" i="4"/>
  <c r="D169" i="4" s="1"/>
  <c r="E292" i="5"/>
  <c r="D9" i="6"/>
  <c r="D106" i="4"/>
  <c r="E229" i="5"/>
  <c r="D161" i="4"/>
  <c r="E284" i="5"/>
  <c r="D105" i="4"/>
  <c r="D102" i="4" s="1"/>
  <c r="E225" i="5"/>
  <c r="E213" i="5"/>
  <c r="D90" i="4"/>
  <c r="D146" i="4"/>
  <c r="D145" i="4" s="1"/>
  <c r="E42" i="5"/>
  <c r="D227" i="4"/>
  <c r="E66" i="5"/>
  <c r="D96" i="4"/>
  <c r="E219" i="5"/>
  <c r="E61" i="5"/>
  <c r="D45" i="6"/>
  <c r="D187" i="4"/>
  <c r="D183" i="4" s="1"/>
  <c r="E305" i="5"/>
  <c r="C108" i="6"/>
  <c r="D75" i="4"/>
  <c r="D69" i="4" s="1"/>
  <c r="D68" i="4" s="1"/>
  <c r="E193" i="5"/>
  <c r="E192" i="5" s="1"/>
  <c r="E182" i="5" s="1"/>
  <c r="G10" i="6"/>
  <c r="F10" i="6"/>
  <c r="D705" i="6" l="1"/>
  <c r="C705" i="6"/>
  <c r="F205" i="5"/>
  <c r="F181" i="5" s="1"/>
  <c r="F366" i="5" s="1"/>
  <c r="E158" i="4"/>
  <c r="E82" i="4" s="1"/>
  <c r="E57" i="4" s="1"/>
  <c r="E245" i="4" s="1"/>
  <c r="F493" i="5"/>
  <c r="F8" i="5"/>
  <c r="C31" i="9"/>
  <c r="C30" i="9" s="1"/>
  <c r="C445" i="6"/>
  <c r="C444" i="6" s="1"/>
  <c r="E31" i="5"/>
  <c r="E19" i="5" s="1"/>
  <c r="C195" i="6"/>
  <c r="C194" i="6" s="1"/>
  <c r="D210" i="6"/>
  <c r="D195" i="6" s="1"/>
  <c r="D194" i="6" s="1"/>
  <c r="C32" i="6"/>
  <c r="C8" i="6" s="1"/>
  <c r="C704" i="6" s="1"/>
  <c r="D32" i="6"/>
  <c r="D8" i="6" s="1"/>
  <c r="D456" i="6"/>
  <c r="D446" i="6" s="1"/>
  <c r="D445" i="6" s="1"/>
  <c r="D444" i="6" s="1"/>
  <c r="E302" i="5"/>
  <c r="E301" i="5" s="1"/>
  <c r="D179" i="4"/>
  <c r="D178" i="4" s="1"/>
  <c r="E243" i="5"/>
  <c r="E218" i="5"/>
  <c r="E281" i="5"/>
  <c r="D95" i="4"/>
  <c r="D58" i="4"/>
  <c r="D158" i="4"/>
  <c r="E206" i="5"/>
  <c r="D218" i="4"/>
  <c r="D215" i="4" s="1"/>
  <c r="D209" i="4" s="1"/>
  <c r="G15" i="3" s="1"/>
  <c r="D120" i="4"/>
  <c r="D83" i="4"/>
  <c r="H15" i="3"/>
  <c r="E60" i="5"/>
  <c r="E59" i="5" s="1"/>
  <c r="E58" i="5" s="1"/>
  <c r="I251" i="5"/>
  <c r="H251" i="5"/>
  <c r="G251" i="5"/>
  <c r="G71" i="6"/>
  <c r="F71" i="6"/>
  <c r="E71" i="6"/>
  <c r="G34" i="6"/>
  <c r="F34" i="6"/>
  <c r="G20" i="6"/>
  <c r="G19" i="6" s="1"/>
  <c r="G9" i="6" s="1"/>
  <c r="F20" i="6"/>
  <c r="F19" i="6" s="1"/>
  <c r="F9" i="6" s="1"/>
  <c r="D704" i="6" l="1"/>
  <c r="D706" i="6" s="1"/>
  <c r="I248" i="5"/>
  <c r="I243" i="5" s="1"/>
  <c r="I205" i="5" s="1"/>
  <c r="I181" i="5" s="1"/>
  <c r="I366" i="5" s="1"/>
  <c r="H128" i="4"/>
  <c r="H125" i="4" s="1"/>
  <c r="H120" i="4" s="1"/>
  <c r="H82" i="4" s="1"/>
  <c r="H57" i="4" s="1"/>
  <c r="H245" i="4" s="1"/>
  <c r="H248" i="5"/>
  <c r="H243" i="5" s="1"/>
  <c r="H205" i="5" s="1"/>
  <c r="H181" i="5" s="1"/>
  <c r="H8" i="5" s="1"/>
  <c r="G128" i="4"/>
  <c r="G125" i="4" s="1"/>
  <c r="G120" i="4" s="1"/>
  <c r="G82" i="4" s="1"/>
  <c r="G57" i="4" s="1"/>
  <c r="G245" i="4" s="1"/>
  <c r="G248" i="5"/>
  <c r="G243" i="5" s="1"/>
  <c r="G205" i="5" s="1"/>
  <c r="G181" i="5" s="1"/>
  <c r="G366" i="5" s="1"/>
  <c r="F128" i="4"/>
  <c r="F125" i="4" s="1"/>
  <c r="F120" i="4" s="1"/>
  <c r="F82" i="4" s="1"/>
  <c r="F57" i="4" s="1"/>
  <c r="F245" i="4" s="1"/>
  <c r="C706" i="6"/>
  <c r="H14" i="3"/>
  <c r="H13" i="3" s="1"/>
  <c r="H16" i="3" s="1"/>
  <c r="D7" i="6"/>
  <c r="D6" i="6" s="1"/>
  <c r="D82" i="4"/>
  <c r="D57" i="4" s="1"/>
  <c r="E205" i="5"/>
  <c r="E181" i="5" s="1"/>
  <c r="C29" i="9"/>
  <c r="C28" i="9" s="1"/>
  <c r="E11" i="5"/>
  <c r="C7" i="6"/>
  <c r="C6" i="6" s="1"/>
  <c r="E9" i="5"/>
  <c r="C25" i="9"/>
  <c r="C24" i="9" s="1"/>
  <c r="H25" i="3" l="1"/>
  <c r="H38" i="3"/>
  <c r="C5" i="6"/>
  <c r="D5" i="6"/>
  <c r="I493" i="5"/>
  <c r="I8" i="5"/>
  <c r="G493" i="5"/>
  <c r="H366" i="5"/>
  <c r="G8" i="5"/>
  <c r="H493" i="5"/>
  <c r="C23" i="9"/>
  <c r="D245" i="4"/>
  <c r="B10" i="8" s="1"/>
  <c r="G14" i="3"/>
  <c r="G13" i="3" s="1"/>
  <c r="G16" i="3" s="1"/>
  <c r="E74" i="5"/>
  <c r="B25" i="9" s="1"/>
  <c r="B24" i="9" s="1"/>
  <c r="E493" i="5"/>
  <c r="C10" i="8"/>
  <c r="E8" i="5"/>
  <c r="E366" i="5"/>
  <c r="B29" i="9" s="1"/>
  <c r="B28" i="9" s="1"/>
  <c r="G38" i="3" l="1"/>
  <c r="G40" i="3" s="1"/>
  <c r="H37" i="3" s="1"/>
  <c r="B13" i="8"/>
  <c r="B14" i="8"/>
  <c r="B15" i="8"/>
  <c r="C14" i="8"/>
  <c r="C15" i="8"/>
  <c r="C13" i="8"/>
  <c r="B23" i="9"/>
  <c r="H40" i="3" l="1"/>
  <c r="I37" i="3" s="1"/>
  <c r="F253" i="4" s="1"/>
  <c r="F251" i="4" s="1"/>
  <c r="E253" i="4"/>
  <c r="E251" i="4" s="1"/>
  <c r="E250" i="4" s="1"/>
  <c r="E249" i="4" s="1"/>
  <c r="B12" i="8"/>
  <c r="B11" i="8" s="1"/>
  <c r="C12" i="8"/>
  <c r="C11" i="8" s="1"/>
  <c r="F145" i="6" l="1"/>
  <c r="F144" i="6" s="1"/>
  <c r="F143" i="6" s="1"/>
  <c r="G145" i="6"/>
  <c r="G144" i="6" s="1"/>
  <c r="G143" i="6" s="1"/>
  <c r="E145" i="6"/>
  <c r="E144" i="6" s="1"/>
  <c r="F500" i="6"/>
  <c r="F499" i="6" s="1"/>
  <c r="G500" i="6"/>
  <c r="G499" i="6" s="1"/>
  <c r="E500" i="6"/>
  <c r="E499" i="6" s="1"/>
  <c r="E495" i="6"/>
  <c r="E494" i="6" s="1"/>
  <c r="F495" i="6"/>
  <c r="G495" i="6"/>
  <c r="F252" i="6"/>
  <c r="F251" i="6" s="1"/>
  <c r="G252" i="6"/>
  <c r="G251" i="6" s="1"/>
  <c r="F245" i="6"/>
  <c r="G245" i="6"/>
  <c r="F242" i="6"/>
  <c r="G242" i="6"/>
  <c r="F240" i="6"/>
  <c r="G240" i="6"/>
  <c r="F233" i="6"/>
  <c r="G233" i="6"/>
  <c r="F222" i="6"/>
  <c r="G222" i="6"/>
  <c r="F220" i="6"/>
  <c r="G220" i="6"/>
  <c r="F216" i="6"/>
  <c r="G216" i="6"/>
  <c r="F214" i="6"/>
  <c r="G214" i="6"/>
  <c r="F212" i="6"/>
  <c r="G212" i="6"/>
  <c r="F198" i="6"/>
  <c r="G198" i="6"/>
  <c r="G211" i="6" l="1"/>
  <c r="G231" i="6"/>
  <c r="F231" i="6"/>
  <c r="G219" i="6"/>
  <c r="F219" i="6"/>
  <c r="F211" i="6"/>
  <c r="E20" i="6"/>
  <c r="F210" i="6" l="1"/>
  <c r="G210" i="6"/>
  <c r="F574" i="6"/>
  <c r="G574" i="6"/>
  <c r="F572" i="6"/>
  <c r="G572" i="6"/>
  <c r="F567" i="6"/>
  <c r="G567" i="6"/>
  <c r="F565" i="6"/>
  <c r="G565" i="6"/>
  <c r="F563" i="6"/>
  <c r="G563" i="6"/>
  <c r="E567" i="6"/>
  <c r="E565" i="6"/>
  <c r="E563" i="6"/>
  <c r="E572" i="6"/>
  <c r="E574" i="6"/>
  <c r="E555" i="6"/>
  <c r="F552" i="6"/>
  <c r="F551" i="6" s="1"/>
  <c r="G552" i="6"/>
  <c r="G551" i="6" s="1"/>
  <c r="E552" i="6"/>
  <c r="E551" i="6" s="1"/>
  <c r="G571" i="6" l="1"/>
  <c r="E562" i="6"/>
  <c r="E571" i="6"/>
  <c r="F571" i="6"/>
  <c r="G562" i="6"/>
  <c r="F562" i="6"/>
  <c r="F555" i="6"/>
  <c r="F554" i="6" s="1"/>
  <c r="G555" i="6"/>
  <c r="G554" i="6" s="1"/>
  <c r="E554" i="6"/>
  <c r="F559" i="6"/>
  <c r="F558" i="6" s="1"/>
  <c r="G559" i="6"/>
  <c r="G558" i="6" s="1"/>
  <c r="E559" i="6"/>
  <c r="E558" i="6" s="1"/>
  <c r="F538" i="6"/>
  <c r="F537" i="6" s="1"/>
  <c r="G538" i="6"/>
  <c r="G537" i="6" s="1"/>
  <c r="F533" i="6"/>
  <c r="F532" i="6" s="1"/>
  <c r="G533" i="6"/>
  <c r="G532" i="6" s="1"/>
  <c r="E538" i="6"/>
  <c r="E537" i="6" s="1"/>
  <c r="E533" i="6"/>
  <c r="E532" i="6" s="1"/>
  <c r="F519" i="6"/>
  <c r="F518" i="6" s="1"/>
  <c r="G519" i="6"/>
  <c r="G518" i="6" s="1"/>
  <c r="F514" i="6"/>
  <c r="F513" i="6" s="1"/>
  <c r="G514" i="6"/>
  <c r="G513" i="6" s="1"/>
  <c r="E514" i="6"/>
  <c r="E513" i="6" s="1"/>
  <c r="E519" i="6"/>
  <c r="E518" i="6" s="1"/>
  <c r="E484" i="6"/>
  <c r="E482" i="6"/>
  <c r="E477" i="6"/>
  <c r="F488" i="6"/>
  <c r="F487" i="6" s="1"/>
  <c r="G488" i="6"/>
  <c r="G487" i="6" s="1"/>
  <c r="E488" i="6"/>
  <c r="E487" i="6" s="1"/>
  <c r="E486" i="6" s="1"/>
  <c r="E472" i="6"/>
  <c r="E466" i="6"/>
  <c r="F482" i="6"/>
  <c r="G482" i="6"/>
  <c r="F484" i="6"/>
  <c r="G484" i="6"/>
  <c r="F477" i="6"/>
  <c r="G477" i="6"/>
  <c r="F466" i="6"/>
  <c r="G466" i="6"/>
  <c r="F472" i="6"/>
  <c r="G472" i="6"/>
  <c r="F372" i="6"/>
  <c r="F369" i="6" s="1"/>
  <c r="G372" i="6"/>
  <c r="G369" i="6" s="1"/>
  <c r="E372" i="6"/>
  <c r="E369" i="6" s="1"/>
  <c r="F341" i="6"/>
  <c r="G341" i="6"/>
  <c r="E341" i="6"/>
  <c r="F306" i="6"/>
  <c r="F305" i="6" s="1"/>
  <c r="G306" i="6"/>
  <c r="G305" i="6" s="1"/>
  <c r="F299" i="6"/>
  <c r="F298" i="6" s="1"/>
  <c r="G299" i="6"/>
  <c r="G298" i="6" s="1"/>
  <c r="E306" i="6"/>
  <c r="E305" i="6" s="1"/>
  <c r="E299" i="6"/>
  <c r="E298" i="6" s="1"/>
  <c r="E252" i="6"/>
  <c r="E251" i="6" s="1"/>
  <c r="E222" i="6"/>
  <c r="E245" i="6"/>
  <c r="E242" i="6"/>
  <c r="E240" i="6"/>
  <c r="E233" i="6"/>
  <c r="E220" i="6"/>
  <c r="E216" i="6"/>
  <c r="E214" i="6"/>
  <c r="E212" i="6"/>
  <c r="F208" i="6"/>
  <c r="F207" i="6" s="1"/>
  <c r="G208" i="6"/>
  <c r="G207" i="6" s="1"/>
  <c r="E208" i="6"/>
  <c r="E207" i="6" s="1"/>
  <c r="F205" i="6"/>
  <c r="F204" i="6" s="1"/>
  <c r="G205" i="6"/>
  <c r="G204" i="6" s="1"/>
  <c r="E205" i="6"/>
  <c r="E204" i="6" s="1"/>
  <c r="F202" i="6"/>
  <c r="F197" i="6" s="1"/>
  <c r="G202" i="6"/>
  <c r="G197" i="6" s="1"/>
  <c r="E202" i="6"/>
  <c r="E198" i="6"/>
  <c r="F190" i="6"/>
  <c r="F189" i="6" s="1"/>
  <c r="G190" i="6"/>
  <c r="G189" i="6" s="1"/>
  <c r="E190" i="6"/>
  <c r="E189" i="6" s="1"/>
  <c r="F184" i="6"/>
  <c r="G184" i="6"/>
  <c r="E184" i="6"/>
  <c r="F181" i="6"/>
  <c r="G181" i="6"/>
  <c r="E181" i="6"/>
  <c r="F179" i="6"/>
  <c r="G179" i="6"/>
  <c r="E179" i="6"/>
  <c r="E162" i="6"/>
  <c r="E161" i="6" s="1"/>
  <c r="F162" i="6"/>
  <c r="G162" i="6"/>
  <c r="F176" i="6"/>
  <c r="G176" i="6"/>
  <c r="E176" i="6"/>
  <c r="G173" i="6"/>
  <c r="F173" i="6"/>
  <c r="E173" i="6"/>
  <c r="F168" i="6"/>
  <c r="G168" i="6"/>
  <c r="E168" i="6"/>
  <c r="F157" i="6"/>
  <c r="G157" i="6"/>
  <c r="F149" i="6"/>
  <c r="G149" i="6"/>
  <c r="F154" i="6"/>
  <c r="F151" i="6" s="1"/>
  <c r="G154" i="6"/>
  <c r="G151" i="6" s="1"/>
  <c r="E149" i="6"/>
  <c r="E154" i="6"/>
  <c r="E151" i="6" s="1"/>
  <c r="F133" i="6"/>
  <c r="G133" i="6"/>
  <c r="F130" i="6"/>
  <c r="G130" i="6"/>
  <c r="E130" i="6"/>
  <c r="E133" i="6"/>
  <c r="F125" i="6"/>
  <c r="G125" i="6"/>
  <c r="F123" i="6"/>
  <c r="G123" i="6"/>
  <c r="F119" i="6"/>
  <c r="G119" i="6"/>
  <c r="F117" i="6"/>
  <c r="G117" i="6"/>
  <c r="F115" i="6"/>
  <c r="G115" i="6"/>
  <c r="F111" i="6"/>
  <c r="G111" i="6"/>
  <c r="F109" i="6"/>
  <c r="G109" i="6"/>
  <c r="F102" i="6"/>
  <c r="F101" i="6" s="1"/>
  <c r="G102" i="6"/>
  <c r="G101" i="6" s="1"/>
  <c r="F97" i="6"/>
  <c r="G97" i="6"/>
  <c r="F95" i="6"/>
  <c r="G95" i="6"/>
  <c r="F90" i="6"/>
  <c r="G90" i="6"/>
  <c r="F88" i="6"/>
  <c r="G88" i="6"/>
  <c r="F86" i="6"/>
  <c r="G86" i="6"/>
  <c r="F81" i="6"/>
  <c r="G81" i="6"/>
  <c r="F79" i="6"/>
  <c r="G79" i="6"/>
  <c r="F75" i="6"/>
  <c r="G75" i="6"/>
  <c r="F68" i="6"/>
  <c r="G68" i="6"/>
  <c r="F66" i="6"/>
  <c r="G66" i="6"/>
  <c r="F61" i="6"/>
  <c r="G61" i="6"/>
  <c r="F56" i="6"/>
  <c r="G56" i="6"/>
  <c r="F52" i="6"/>
  <c r="G52" i="6"/>
  <c r="F46" i="6"/>
  <c r="G46" i="6"/>
  <c r="F43" i="6"/>
  <c r="G43" i="6"/>
  <c r="F40" i="6"/>
  <c r="G40" i="6"/>
  <c r="F38" i="6"/>
  <c r="G38" i="6"/>
  <c r="E125" i="6"/>
  <c r="E123" i="6"/>
  <c r="E119" i="6"/>
  <c r="E117" i="6"/>
  <c r="E115" i="6"/>
  <c r="E111" i="6"/>
  <c r="E109" i="6"/>
  <c r="E102" i="6"/>
  <c r="E101" i="6" s="1"/>
  <c r="E97" i="6"/>
  <c r="E95" i="6"/>
  <c r="E90" i="6"/>
  <c r="E88" i="6"/>
  <c r="E86" i="6"/>
  <c r="E81" i="6"/>
  <c r="E79" i="6"/>
  <c r="E75" i="6"/>
  <c r="E68" i="6"/>
  <c r="E66" i="6"/>
  <c r="E61" i="6"/>
  <c r="E56" i="6"/>
  <c r="E52" i="6"/>
  <c r="E46" i="6"/>
  <c r="E43" i="6"/>
  <c r="E40" i="6"/>
  <c r="E38" i="6"/>
  <c r="E34" i="6"/>
  <c r="E28" i="6"/>
  <c r="E27" i="6" s="1"/>
  <c r="E19" i="6"/>
  <c r="E17" i="6"/>
  <c r="E15" i="6"/>
  <c r="E11" i="6"/>
  <c r="F42" i="2"/>
  <c r="E129" i="6" l="1"/>
  <c r="E128" i="6" s="1"/>
  <c r="G129" i="6"/>
  <c r="G128" i="6" s="1"/>
  <c r="F129" i="6"/>
  <c r="F128" i="6" s="1"/>
  <c r="F33" i="6"/>
  <c r="E10" i="6"/>
  <c r="E9" i="6" s="1"/>
  <c r="G33" i="6"/>
  <c r="F476" i="6"/>
  <c r="F475" i="6" s="1"/>
  <c r="G476" i="6"/>
  <c r="G475" i="6" s="1"/>
  <c r="E476" i="6"/>
  <c r="E475" i="6" s="1"/>
  <c r="E474" i="6" s="1"/>
  <c r="G196" i="6"/>
  <c r="F196" i="6"/>
  <c r="F465" i="6"/>
  <c r="G465" i="6"/>
  <c r="E465" i="6"/>
  <c r="E197" i="6"/>
  <c r="E196" i="6" s="1"/>
  <c r="E231" i="6"/>
  <c r="E219" i="6"/>
  <c r="E211" i="6"/>
  <c r="G167" i="6"/>
  <c r="E167" i="6"/>
  <c r="F167" i="6"/>
  <c r="G148" i="6"/>
  <c r="F148" i="6"/>
  <c r="E108" i="6"/>
  <c r="G108" i="6"/>
  <c r="F108" i="6"/>
  <c r="G70" i="6"/>
  <c r="F70" i="6"/>
  <c r="G45" i="6"/>
  <c r="F45" i="6"/>
  <c r="E70" i="6"/>
  <c r="E45" i="6"/>
  <c r="E33" i="6"/>
  <c r="E210" i="6" l="1"/>
  <c r="E32" i="6"/>
  <c r="G32" i="6"/>
  <c r="F32" i="6"/>
  <c r="F41" i="2"/>
  <c r="F40" i="2" s="1"/>
  <c r="G41" i="2"/>
  <c r="G40" i="2" s="1"/>
  <c r="H41" i="2"/>
  <c r="H40" i="2" s="1"/>
  <c r="F250" i="4" l="1"/>
  <c r="F249" i="4" s="1"/>
  <c r="G67" i="2"/>
  <c r="G66" i="2" s="1"/>
  <c r="G65" i="2" s="1"/>
  <c r="G64" i="2" s="1"/>
  <c r="H67" i="2"/>
  <c r="H66" i="2" s="1"/>
  <c r="H65" i="2" s="1"/>
  <c r="H64" i="2" s="1"/>
  <c r="F67" i="2"/>
  <c r="F66" i="2" s="1"/>
  <c r="F65" i="2" s="1"/>
  <c r="G63" i="2"/>
  <c r="G62" i="2" s="1"/>
  <c r="G61" i="2" s="1"/>
  <c r="H63" i="2"/>
  <c r="H62" i="2" s="1"/>
  <c r="H61" i="2" s="1"/>
  <c r="F63" i="2"/>
  <c r="F62" i="2" s="1"/>
  <c r="F61" i="2" s="1"/>
  <c r="G60" i="2"/>
  <c r="G59" i="2" s="1"/>
  <c r="H60" i="2"/>
  <c r="H59" i="2" s="1"/>
  <c r="F60" i="2"/>
  <c r="F59" i="2" s="1"/>
  <c r="G58" i="2"/>
  <c r="G57" i="2" s="1"/>
  <c r="H58" i="2"/>
  <c r="H57" i="2" s="1"/>
  <c r="F58" i="2"/>
  <c r="F57" i="2" s="1"/>
  <c r="G53" i="2"/>
  <c r="G52" i="2" s="1"/>
  <c r="H53" i="2"/>
  <c r="H52" i="2" s="1"/>
  <c r="F53" i="2"/>
  <c r="F52" i="2" s="1"/>
  <c r="G49" i="2"/>
  <c r="G48" i="2" s="1"/>
  <c r="H49" i="2"/>
  <c r="H48" i="2" s="1"/>
  <c r="F49" i="2"/>
  <c r="F48" i="2" s="1"/>
  <c r="G47" i="2"/>
  <c r="H47" i="2"/>
  <c r="F47" i="2"/>
  <c r="G34" i="2"/>
  <c r="G33" i="2" s="1"/>
  <c r="G32" i="2" s="1"/>
  <c r="H34" i="2"/>
  <c r="H33" i="2" s="1"/>
  <c r="H32" i="2" s="1"/>
  <c r="F34" i="2"/>
  <c r="F33" i="2" s="1"/>
  <c r="F32" i="2" s="1"/>
  <c r="G28" i="2"/>
  <c r="G27" i="2" s="1"/>
  <c r="H28" i="2"/>
  <c r="H27" i="2" s="1"/>
  <c r="F28" i="2"/>
  <c r="F27" i="2" s="1"/>
  <c r="G23" i="2"/>
  <c r="G22" i="2" s="1"/>
  <c r="G21" i="2" s="1"/>
  <c r="H23" i="2"/>
  <c r="H22" i="2" s="1"/>
  <c r="H21" i="2" s="1"/>
  <c r="F23" i="2"/>
  <c r="F22" i="2" s="1"/>
  <c r="F21" i="2" s="1"/>
  <c r="G20" i="2"/>
  <c r="G19" i="2" s="1"/>
  <c r="G18" i="2" s="1"/>
  <c r="H20" i="2"/>
  <c r="H19" i="2" s="1"/>
  <c r="H18" i="2" s="1"/>
  <c r="F20" i="2"/>
  <c r="G486" i="6"/>
  <c r="G474" i="6" s="1"/>
  <c r="F141" i="6"/>
  <c r="F140" i="6" s="1"/>
  <c r="G141" i="6"/>
  <c r="G140" i="6" s="1"/>
  <c r="F161" i="6"/>
  <c r="G161" i="6"/>
  <c r="F164" i="6"/>
  <c r="G164" i="6"/>
  <c r="F183" i="6"/>
  <c r="G183" i="6"/>
  <c r="F186" i="6"/>
  <c r="G186" i="6"/>
  <c r="F192" i="6"/>
  <c r="F188" i="6" s="1"/>
  <c r="G192" i="6"/>
  <c r="G188" i="6" s="1"/>
  <c r="F261" i="6"/>
  <c r="F260" i="6" s="1"/>
  <c r="G261" i="6"/>
  <c r="G260" i="6" s="1"/>
  <c r="F267" i="6"/>
  <c r="F266" i="6" s="1"/>
  <c r="G267" i="6"/>
  <c r="G266" i="6" s="1"/>
  <c r="F270" i="6"/>
  <c r="G270" i="6"/>
  <c r="F272" i="6"/>
  <c r="G272" i="6"/>
  <c r="F275" i="6"/>
  <c r="G275" i="6"/>
  <c r="F279" i="6"/>
  <c r="F278" i="6" s="1"/>
  <c r="G279" i="6"/>
  <c r="G278" i="6" s="1"/>
  <c r="F282" i="6"/>
  <c r="G282" i="6"/>
  <c r="F284" i="6"/>
  <c r="G284" i="6"/>
  <c r="F291" i="6"/>
  <c r="G291" i="6"/>
  <c r="F293" i="6"/>
  <c r="G293" i="6"/>
  <c r="F303" i="6"/>
  <c r="F297" i="6" s="1"/>
  <c r="G303" i="6"/>
  <c r="G297" i="6" s="1"/>
  <c r="F309" i="6"/>
  <c r="F308" i="6" s="1"/>
  <c r="G309" i="6"/>
  <c r="G308" i="6" s="1"/>
  <c r="F320" i="6"/>
  <c r="F319" i="6" s="1"/>
  <c r="G320" i="6"/>
  <c r="G319" i="6" s="1"/>
  <c r="F324" i="6"/>
  <c r="F323" i="6" s="1"/>
  <c r="G324" i="6"/>
  <c r="G323" i="6" s="1"/>
  <c r="F328" i="6"/>
  <c r="G328" i="6"/>
  <c r="F346" i="6"/>
  <c r="F340" i="6" s="1"/>
  <c r="F339" i="6" s="1"/>
  <c r="G346" i="6"/>
  <c r="G340" i="6" s="1"/>
  <c r="G339" i="6" s="1"/>
  <c r="F350" i="6"/>
  <c r="F349" i="6" s="1"/>
  <c r="F348" i="6" s="1"/>
  <c r="G350" i="6"/>
  <c r="G349" i="6" s="1"/>
  <c r="G348" i="6" s="1"/>
  <c r="F367" i="6"/>
  <c r="G367" i="6"/>
  <c r="F448" i="6"/>
  <c r="G448" i="6"/>
  <c r="F451" i="6"/>
  <c r="G451" i="6"/>
  <c r="F453" i="6"/>
  <c r="G453" i="6"/>
  <c r="F457" i="6"/>
  <c r="G457" i="6"/>
  <c r="F461" i="6"/>
  <c r="G461" i="6"/>
  <c r="F486" i="6"/>
  <c r="F474" i="6" s="1"/>
  <c r="F494" i="6"/>
  <c r="G494" i="6"/>
  <c r="F497" i="6"/>
  <c r="G497" i="6"/>
  <c r="F503" i="6"/>
  <c r="G503" i="6"/>
  <c r="F505" i="6"/>
  <c r="G505" i="6"/>
  <c r="F507" i="6"/>
  <c r="G507" i="6"/>
  <c r="F516" i="6"/>
  <c r="F512" i="6" s="1"/>
  <c r="G516" i="6"/>
  <c r="G512" i="6" s="1"/>
  <c r="F522" i="6"/>
  <c r="G522" i="6"/>
  <c r="F524" i="6"/>
  <c r="G524" i="6"/>
  <c r="F526" i="6"/>
  <c r="G526" i="6"/>
  <c r="F535" i="6"/>
  <c r="F531" i="6" s="1"/>
  <c r="G535" i="6"/>
  <c r="G531" i="6" s="1"/>
  <c r="F541" i="6"/>
  <c r="G541" i="6"/>
  <c r="F543" i="6"/>
  <c r="G543" i="6"/>
  <c r="F545" i="6"/>
  <c r="G545" i="6"/>
  <c r="F569" i="6"/>
  <c r="F561" i="6" s="1"/>
  <c r="G569" i="6"/>
  <c r="G561" i="6" s="1"/>
  <c r="F651" i="6"/>
  <c r="G651" i="6"/>
  <c r="F654" i="6"/>
  <c r="G654" i="6"/>
  <c r="F657" i="6"/>
  <c r="G657" i="6"/>
  <c r="F659" i="6"/>
  <c r="G659" i="6"/>
  <c r="F672" i="6"/>
  <c r="F671" i="6" s="1"/>
  <c r="G672" i="6"/>
  <c r="G671" i="6" s="1"/>
  <c r="F447" i="6" l="1"/>
  <c r="G447" i="6"/>
  <c r="F456" i="6"/>
  <c r="G456" i="6"/>
  <c r="F33" i="9"/>
  <c r="F32" i="9" s="1"/>
  <c r="E33" i="9"/>
  <c r="E32" i="9" s="1"/>
  <c r="G296" i="6"/>
  <c r="F296" i="6"/>
  <c r="F166" i="6"/>
  <c r="G166" i="6"/>
  <c r="F502" i="6"/>
  <c r="G656" i="6"/>
  <c r="G269" i="6"/>
  <c r="G195" i="6" s="1"/>
  <c r="F656" i="6"/>
  <c r="F160" i="6"/>
  <c r="G650" i="6"/>
  <c r="G649" i="6" s="1"/>
  <c r="G648" i="6" s="1"/>
  <c r="G647" i="6" s="1"/>
  <c r="G540" i="6"/>
  <c r="G530" i="6" s="1"/>
  <c r="G521" i="6"/>
  <c r="G511" i="6" s="1"/>
  <c r="G510" i="6" s="1"/>
  <c r="G322" i="6"/>
  <c r="G160" i="6"/>
  <c r="F650" i="6"/>
  <c r="F649" i="6" s="1"/>
  <c r="F648" i="6" s="1"/>
  <c r="F647" i="6" s="1"/>
  <c r="F521" i="6"/>
  <c r="F511" i="6" s="1"/>
  <c r="F510" i="6" s="1"/>
  <c r="F322" i="6"/>
  <c r="F46" i="2"/>
  <c r="F56" i="2"/>
  <c r="F55" i="2" s="1"/>
  <c r="H46" i="2"/>
  <c r="G46" i="2"/>
  <c r="G56" i="2"/>
  <c r="G55" i="2" s="1"/>
  <c r="H56" i="2"/>
  <c r="H55" i="2" s="1"/>
  <c r="F19" i="2"/>
  <c r="F18" i="2" s="1"/>
  <c r="G550" i="6"/>
  <c r="F550" i="6"/>
  <c r="F540" i="6"/>
  <c r="F530" i="6" s="1"/>
  <c r="G502" i="6"/>
  <c r="G493" i="6"/>
  <c r="F493" i="6"/>
  <c r="G366" i="6"/>
  <c r="G365" i="6" s="1"/>
  <c r="F366" i="6"/>
  <c r="F365" i="6" s="1"/>
  <c r="F338" i="6"/>
  <c r="G338" i="6"/>
  <c r="F269" i="6"/>
  <c r="F195" i="6" s="1"/>
  <c r="F281" i="6"/>
  <c r="F277" i="6" s="1"/>
  <c r="G281" i="6"/>
  <c r="G277" i="6" s="1"/>
  <c r="F16" i="8"/>
  <c r="E16" i="8"/>
  <c r="D16" i="8"/>
  <c r="E672" i="6"/>
  <c r="E671" i="6" s="1"/>
  <c r="E657" i="6"/>
  <c r="E656" i="6" s="1"/>
  <c r="E654" i="6"/>
  <c r="E651" i="6"/>
  <c r="E569" i="6"/>
  <c r="E561" i="6" s="1"/>
  <c r="E545" i="6"/>
  <c r="E543" i="6"/>
  <c r="E541" i="6"/>
  <c r="E535" i="6"/>
  <c r="E531" i="6" s="1"/>
  <c r="E526" i="6"/>
  <c r="E524" i="6"/>
  <c r="E522" i="6"/>
  <c r="E516" i="6"/>
  <c r="E512" i="6" s="1"/>
  <c r="E507" i="6"/>
  <c r="E505" i="6"/>
  <c r="E503" i="6"/>
  <c r="E497" i="6"/>
  <c r="E493" i="6" s="1"/>
  <c r="E461" i="6"/>
  <c r="E457" i="6"/>
  <c r="E453" i="6"/>
  <c r="E451" i="6"/>
  <c r="E448" i="6"/>
  <c r="E367" i="6"/>
  <c r="E366" i="6" s="1"/>
  <c r="E350" i="6"/>
  <c r="E349" i="6" s="1"/>
  <c r="E348" i="6" s="1"/>
  <c r="E346" i="6"/>
  <c r="E340" i="6" s="1"/>
  <c r="E328" i="6"/>
  <c r="E324" i="6"/>
  <c r="E323" i="6" s="1"/>
  <c r="E320" i="6"/>
  <c r="E319" i="6" s="1"/>
  <c r="E309" i="6"/>
  <c r="E308" i="6" s="1"/>
  <c r="E303" i="6"/>
  <c r="E297" i="6" s="1"/>
  <c r="E293" i="6"/>
  <c r="E291" i="6"/>
  <c r="E284" i="6"/>
  <c r="E282" i="6"/>
  <c r="E279" i="6"/>
  <c r="E278" i="6" s="1"/>
  <c r="E275" i="6"/>
  <c r="E272" i="6"/>
  <c r="E270" i="6"/>
  <c r="E267" i="6"/>
  <c r="E266" i="6" s="1"/>
  <c r="E261" i="6"/>
  <c r="E260" i="6" s="1"/>
  <c r="E192" i="6"/>
  <c r="E188" i="6" s="1"/>
  <c r="E186" i="6"/>
  <c r="E183" i="6"/>
  <c r="E164" i="6"/>
  <c r="E160" i="6" s="1"/>
  <c r="E157" i="6"/>
  <c r="E148" i="6" s="1"/>
  <c r="E143" i="6"/>
  <c r="E141" i="6"/>
  <c r="E140" i="6" s="1"/>
  <c r="F49" i="4"/>
  <c r="F48" i="4" s="1"/>
  <c r="H48" i="4"/>
  <c r="H47" i="4" s="1"/>
  <c r="H46" i="4" s="1"/>
  <c r="G48" i="4"/>
  <c r="G47" i="4" s="1"/>
  <c r="F45" i="4"/>
  <c r="F44" i="4" s="1"/>
  <c r="F43" i="4" s="1"/>
  <c r="H44" i="4"/>
  <c r="H43" i="4" s="1"/>
  <c r="G44" i="4"/>
  <c r="G43" i="4" s="1"/>
  <c r="F42" i="4"/>
  <c r="F41" i="4" s="1"/>
  <c r="F40" i="4" s="1"/>
  <c r="H41" i="4"/>
  <c r="H40" i="4" s="1"/>
  <c r="G41" i="4"/>
  <c r="G40" i="4" s="1"/>
  <c r="F39" i="4"/>
  <c r="H38" i="4"/>
  <c r="H37" i="4" s="1"/>
  <c r="F38" i="4"/>
  <c r="G37" i="4"/>
  <c r="F36" i="4"/>
  <c r="F35" i="4"/>
  <c r="H34" i="4"/>
  <c r="G34" i="4"/>
  <c r="G32" i="4"/>
  <c r="G31" i="4" s="1"/>
  <c r="G30" i="4" s="1"/>
  <c r="F32" i="4"/>
  <c r="F31" i="4" s="1"/>
  <c r="F30" i="4" s="1"/>
  <c r="H31" i="4"/>
  <c r="H30" i="4" s="1"/>
  <c r="G29" i="4"/>
  <c r="G26" i="4" s="1"/>
  <c r="F29" i="4"/>
  <c r="F28" i="4"/>
  <c r="F27" i="4"/>
  <c r="H26" i="4"/>
  <c r="F25" i="4"/>
  <c r="F24" i="4" s="1"/>
  <c r="H24" i="4"/>
  <c r="G24" i="4"/>
  <c r="F23" i="4"/>
  <c r="F22" i="4"/>
  <c r="H21" i="4"/>
  <c r="G21" i="4"/>
  <c r="G20" i="4"/>
  <c r="G19" i="4" s="1"/>
  <c r="F20" i="4"/>
  <c r="F19" i="4" s="1"/>
  <c r="H19" i="4"/>
  <c r="F18" i="4"/>
  <c r="F17" i="4" s="1"/>
  <c r="H17" i="4"/>
  <c r="G17" i="4"/>
  <c r="F15" i="4"/>
  <c r="F14" i="4" s="1"/>
  <c r="H14" i="4"/>
  <c r="G14" i="4"/>
  <c r="H12" i="4"/>
  <c r="G12" i="4"/>
  <c r="F12" i="4"/>
  <c r="F64" i="2"/>
  <c r="H51" i="2"/>
  <c r="G51" i="2"/>
  <c r="F51" i="2"/>
  <c r="H39" i="2"/>
  <c r="F39" i="2"/>
  <c r="G39" i="2"/>
  <c r="H30" i="2"/>
  <c r="G30" i="2"/>
  <c r="F30" i="2"/>
  <c r="H26" i="2"/>
  <c r="G26" i="2"/>
  <c r="G11" i="2" s="1"/>
  <c r="F26" i="2"/>
  <c r="I345" i="1"/>
  <c r="H345" i="1"/>
  <c r="I343" i="1"/>
  <c r="H343" i="1"/>
  <c r="H342" i="1" s="1"/>
  <c r="H341" i="1" s="1"/>
  <c r="G343" i="1"/>
  <c r="G342" i="1" s="1"/>
  <c r="G341" i="1" s="1"/>
  <c r="I339" i="1"/>
  <c r="H339" i="1"/>
  <c r="G339" i="1"/>
  <c r="I337" i="1"/>
  <c r="H337" i="1"/>
  <c r="G337" i="1"/>
  <c r="I334" i="1"/>
  <c r="H334" i="1"/>
  <c r="G334" i="1"/>
  <c r="I327" i="1"/>
  <c r="I326" i="1" s="1"/>
  <c r="I325" i="1" s="1"/>
  <c r="H327" i="1"/>
  <c r="H326" i="1" s="1"/>
  <c r="H325" i="1" s="1"/>
  <c r="G327" i="1"/>
  <c r="G326" i="1" s="1"/>
  <c r="G325" i="1" s="1"/>
  <c r="I323" i="1"/>
  <c r="H323" i="1"/>
  <c r="G323" i="1"/>
  <c r="I320" i="1"/>
  <c r="H320" i="1"/>
  <c r="G320" i="1"/>
  <c r="G319" i="1" s="1"/>
  <c r="G318" i="1" s="1"/>
  <c r="I315" i="1"/>
  <c r="I314" i="1" s="1"/>
  <c r="I313" i="1" s="1"/>
  <c r="H315" i="1"/>
  <c r="H314" i="1" s="1"/>
  <c r="H313" i="1" s="1"/>
  <c r="G315" i="1"/>
  <c r="G314" i="1" s="1"/>
  <c r="G313" i="1" s="1"/>
  <c r="I311" i="1"/>
  <c r="H311" i="1"/>
  <c r="G311" i="1"/>
  <c r="I309" i="1"/>
  <c r="H309" i="1"/>
  <c r="G309" i="1"/>
  <c r="I306" i="1"/>
  <c r="H306" i="1"/>
  <c r="G306" i="1"/>
  <c r="I302" i="1"/>
  <c r="H302" i="1"/>
  <c r="G302" i="1"/>
  <c r="I300" i="1"/>
  <c r="H300" i="1"/>
  <c r="G300" i="1"/>
  <c r="I297" i="1"/>
  <c r="H297" i="1"/>
  <c r="G297" i="1"/>
  <c r="I292" i="1"/>
  <c r="I291" i="1" s="1"/>
  <c r="I288" i="1"/>
  <c r="H288" i="1"/>
  <c r="G288" i="1"/>
  <c r="I282" i="1"/>
  <c r="H282" i="1"/>
  <c r="G282" i="1"/>
  <c r="I277" i="1"/>
  <c r="H277" i="1"/>
  <c r="G277" i="1"/>
  <c r="I275" i="1"/>
  <c r="H275" i="1"/>
  <c r="G275" i="1"/>
  <c r="I272" i="1"/>
  <c r="H272" i="1"/>
  <c r="G272" i="1"/>
  <c r="H269" i="1"/>
  <c r="H268" i="1" s="1"/>
  <c r="I268" i="1"/>
  <c r="I267" i="1" s="1"/>
  <c r="G268" i="1"/>
  <c r="I263" i="1"/>
  <c r="H263" i="1"/>
  <c r="G263" i="1"/>
  <c r="I261" i="1"/>
  <c r="H258" i="1"/>
  <c r="H257" i="1"/>
  <c r="H255" i="1"/>
  <c r="I254" i="1"/>
  <c r="G254" i="1"/>
  <c r="I252" i="1"/>
  <c r="H252" i="1"/>
  <c r="G252" i="1"/>
  <c r="I249" i="1"/>
  <c r="I248" i="1" s="1"/>
  <c r="H249" i="1"/>
  <c r="H248" i="1" s="1"/>
  <c r="G249" i="1"/>
  <c r="G248" i="1" s="1"/>
  <c r="I244" i="1"/>
  <c r="H244" i="1"/>
  <c r="G244" i="1"/>
  <c r="I242" i="1"/>
  <c r="H242" i="1"/>
  <c r="G242" i="1"/>
  <c r="I239" i="1"/>
  <c r="I238" i="1" s="1"/>
  <c r="H239" i="1"/>
  <c r="H238" i="1" s="1"/>
  <c r="G239" i="1"/>
  <c r="G238" i="1" s="1"/>
  <c r="I233" i="1"/>
  <c r="I232" i="1" s="1"/>
  <c r="H233" i="1"/>
  <c r="H232" i="1" s="1"/>
  <c r="G233" i="1"/>
  <c r="G232" i="1" s="1"/>
  <c r="H227" i="1"/>
  <c r="H224" i="1" s="1"/>
  <c r="I224" i="1"/>
  <c r="G224" i="1"/>
  <c r="H223" i="1"/>
  <c r="H217" i="1"/>
  <c r="H216" i="1"/>
  <c r="I214" i="1"/>
  <c r="G214" i="1"/>
  <c r="H212" i="1"/>
  <c r="H211" i="1"/>
  <c r="H210" i="1"/>
  <c r="H209" i="1"/>
  <c r="H208" i="1"/>
  <c r="I207" i="1"/>
  <c r="G207" i="1"/>
  <c r="H204" i="1"/>
  <c r="H202" i="1" s="1"/>
  <c r="I202" i="1"/>
  <c r="G202" i="1"/>
  <c r="H200" i="1"/>
  <c r="H199" i="1" s="1"/>
  <c r="I199" i="1"/>
  <c r="G199" i="1"/>
  <c r="H198" i="1"/>
  <c r="H197" i="1" s="1"/>
  <c r="I197" i="1"/>
  <c r="G197" i="1"/>
  <c r="H193" i="1"/>
  <c r="H192" i="1" s="1"/>
  <c r="I192" i="1"/>
  <c r="G192" i="1"/>
  <c r="I187" i="1"/>
  <c r="H187" i="1"/>
  <c r="G187" i="1"/>
  <c r="H186" i="1"/>
  <c r="H185" i="1" s="1"/>
  <c r="H184" i="1" s="1"/>
  <c r="I185" i="1"/>
  <c r="I184" i="1" s="1"/>
  <c r="G185" i="1"/>
  <c r="I182" i="1"/>
  <c r="H182" i="1"/>
  <c r="G182" i="1"/>
  <c r="I180" i="1"/>
  <c r="H180" i="1"/>
  <c r="G180" i="1"/>
  <c r="I173" i="1"/>
  <c r="H173" i="1"/>
  <c r="G173" i="1"/>
  <c r="I170" i="1"/>
  <c r="H170" i="1"/>
  <c r="G170" i="1"/>
  <c r="G167" i="1" s="1"/>
  <c r="I168" i="1"/>
  <c r="H168" i="1"/>
  <c r="G168" i="1"/>
  <c r="I161" i="1"/>
  <c r="H161" i="1"/>
  <c r="G161" i="1"/>
  <c r="I159" i="1"/>
  <c r="H159" i="1"/>
  <c r="G159" i="1"/>
  <c r="I156" i="1"/>
  <c r="I155" i="1" s="1"/>
  <c r="H156" i="1"/>
  <c r="H155" i="1" s="1"/>
  <c r="G156" i="1"/>
  <c r="G155" i="1" s="1"/>
  <c r="I152" i="1"/>
  <c r="I151" i="1" s="1"/>
  <c r="H152" i="1"/>
  <c r="H151" i="1" s="1"/>
  <c r="G152" i="1"/>
  <c r="G151" i="1" s="1"/>
  <c r="I147" i="1"/>
  <c r="I146" i="1" s="1"/>
  <c r="H147" i="1"/>
  <c r="H146" i="1" s="1"/>
  <c r="G147" i="1"/>
  <c r="G146" i="1" s="1"/>
  <c r="I138" i="1"/>
  <c r="H138" i="1"/>
  <c r="G138" i="1"/>
  <c r="I136" i="1"/>
  <c r="H136" i="1"/>
  <c r="G136" i="1"/>
  <c r="I126" i="1"/>
  <c r="H126" i="1"/>
  <c r="G126" i="1"/>
  <c r="I119" i="1"/>
  <c r="H119" i="1"/>
  <c r="G119" i="1"/>
  <c r="I114" i="1"/>
  <c r="H114" i="1"/>
  <c r="G114" i="1"/>
  <c r="I111" i="1"/>
  <c r="H111" i="1"/>
  <c r="G111" i="1"/>
  <c r="I109" i="1"/>
  <c r="H109" i="1"/>
  <c r="G109" i="1"/>
  <c r="I104" i="1"/>
  <c r="H104" i="1"/>
  <c r="G104" i="1"/>
  <c r="F19" i="9"/>
  <c r="E19" i="9"/>
  <c r="D19" i="9"/>
  <c r="F18" i="9"/>
  <c r="F17" i="9" s="1"/>
  <c r="E18" i="9"/>
  <c r="E17" i="9" s="1"/>
  <c r="D18" i="9"/>
  <c r="D17" i="9" s="1"/>
  <c r="F14" i="9"/>
  <c r="E14" i="9"/>
  <c r="D14" i="9"/>
  <c r="F13" i="9"/>
  <c r="E13" i="9"/>
  <c r="D13" i="9"/>
  <c r="F446" i="6" l="1"/>
  <c r="F445" i="6" s="1"/>
  <c r="F444" i="6" s="1"/>
  <c r="G446" i="6"/>
  <c r="E447" i="6"/>
  <c r="H11" i="2"/>
  <c r="F11" i="2"/>
  <c r="E456" i="6"/>
  <c r="F16" i="9"/>
  <c r="F15" i="9" s="1"/>
  <c r="G607" i="6"/>
  <c r="F607" i="6"/>
  <c r="F194" i="6"/>
  <c r="G194" i="6"/>
  <c r="E8" i="6"/>
  <c r="E35" i="9"/>
  <c r="E34" i="9" s="1"/>
  <c r="F35" i="9"/>
  <c r="F34" i="9" s="1"/>
  <c r="E166" i="6"/>
  <c r="E159" i="6" s="1"/>
  <c r="G354" i="6"/>
  <c r="F492" i="6"/>
  <c r="F491" i="6" s="1"/>
  <c r="F490" i="6" s="1"/>
  <c r="F354" i="6"/>
  <c r="F295" i="6"/>
  <c r="G159" i="6"/>
  <c r="G705" i="6" s="1"/>
  <c r="G529" i="6"/>
  <c r="G528" i="6" s="1"/>
  <c r="G295" i="6"/>
  <c r="G549" i="6"/>
  <c r="G548" i="6" s="1"/>
  <c r="G547" i="6" s="1"/>
  <c r="E365" i="6"/>
  <c r="F529" i="6"/>
  <c r="F528" i="6" s="1"/>
  <c r="K15" i="3"/>
  <c r="J15" i="3"/>
  <c r="E322" i="6"/>
  <c r="G509" i="6"/>
  <c r="F159" i="6"/>
  <c r="F705" i="6" s="1"/>
  <c r="F509" i="6"/>
  <c r="E296" i="6"/>
  <c r="E281" i="6"/>
  <c r="E277" i="6" s="1"/>
  <c r="E339" i="6"/>
  <c r="E338" i="6" s="1"/>
  <c r="G492" i="6"/>
  <c r="G491" i="6" s="1"/>
  <c r="G490" i="6" s="1"/>
  <c r="H319" i="1"/>
  <c r="H318" i="1" s="1"/>
  <c r="H332" i="1" s="1"/>
  <c r="G158" i="1"/>
  <c r="H267" i="1"/>
  <c r="H266" i="1" s="1"/>
  <c r="H294" i="1" s="1"/>
  <c r="H167" i="1"/>
  <c r="G191" i="1"/>
  <c r="H333" i="1"/>
  <c r="H347" i="1" s="1"/>
  <c r="I191" i="1"/>
  <c r="G184" i="1"/>
  <c r="F45" i="2"/>
  <c r="H191" i="1"/>
  <c r="H158" i="1"/>
  <c r="I167" i="1"/>
  <c r="G172" i="1"/>
  <c r="G267" i="1"/>
  <c r="D8" i="9"/>
  <c r="D7" i="9" s="1"/>
  <c r="G241" i="1"/>
  <c r="H113" i="1"/>
  <c r="E8" i="9"/>
  <c r="E7" i="9" s="1"/>
  <c r="G113" i="1"/>
  <c r="I201" i="1"/>
  <c r="F12" i="9"/>
  <c r="F11" i="9" s="1"/>
  <c r="G305" i="1"/>
  <c r="I319" i="1"/>
  <c r="I318" i="1" s="1"/>
  <c r="I332" i="1" s="1"/>
  <c r="E12" i="9"/>
  <c r="E11" i="9" s="1"/>
  <c r="H103" i="1"/>
  <c r="H207" i="1"/>
  <c r="I274" i="1"/>
  <c r="I266" i="1" s="1"/>
  <c r="I294" i="1" s="1"/>
  <c r="I251" i="1"/>
  <c r="I247" i="1" s="1"/>
  <c r="I296" i="1"/>
  <c r="G296" i="1"/>
  <c r="I342" i="1"/>
  <c r="I341" i="1" s="1"/>
  <c r="G332" i="1"/>
  <c r="F10" i="9"/>
  <c r="F9" i="9" s="1"/>
  <c r="I103" i="1"/>
  <c r="I158" i="1"/>
  <c r="H254" i="1"/>
  <c r="H251" i="1" s="1"/>
  <c r="H247" i="1" s="1"/>
  <c r="I333" i="1"/>
  <c r="G103" i="1"/>
  <c r="H172" i="1"/>
  <c r="G201" i="1"/>
  <c r="I241" i="1"/>
  <c r="I305" i="1"/>
  <c r="H241" i="1"/>
  <c r="H305" i="1"/>
  <c r="D12" i="9"/>
  <c r="D11" i="9" s="1"/>
  <c r="I113" i="1"/>
  <c r="I172" i="1"/>
  <c r="H214" i="1"/>
  <c r="G251" i="1"/>
  <c r="G247" i="1" s="1"/>
  <c r="G274" i="1"/>
  <c r="H296" i="1"/>
  <c r="G333" i="1"/>
  <c r="G347" i="1" s="1"/>
  <c r="K12" i="3"/>
  <c r="F21" i="4"/>
  <c r="F11" i="4" s="1"/>
  <c r="H11" i="4"/>
  <c r="F26" i="4"/>
  <c r="F549" i="6"/>
  <c r="F548" i="6" s="1"/>
  <c r="F547" i="6" s="1"/>
  <c r="E521" i="6"/>
  <c r="E511" i="6" s="1"/>
  <c r="E510" i="6" s="1"/>
  <c r="E509" i="6" s="1"/>
  <c r="G46" i="4"/>
  <c r="G33" i="4"/>
  <c r="F37" i="4"/>
  <c r="H33" i="4"/>
  <c r="G11" i="4"/>
  <c r="F34" i="4"/>
  <c r="E269" i="6"/>
  <c r="E195" i="6" s="1"/>
  <c r="E550" i="6"/>
  <c r="E650" i="6"/>
  <c r="E649" i="6" s="1"/>
  <c r="E502" i="6"/>
  <c r="E540" i="6"/>
  <c r="E530" i="6" s="1"/>
  <c r="F47" i="4"/>
  <c r="F46" i="4"/>
  <c r="I12" i="3"/>
  <c r="J12" i="3"/>
  <c r="G45" i="2"/>
  <c r="G10" i="2" s="1"/>
  <c r="H45" i="2"/>
  <c r="D10" i="9"/>
  <c r="D9" i="9" s="1"/>
  <c r="E10" i="9"/>
  <c r="E9" i="9" s="1"/>
  <c r="E705" i="6" l="1"/>
  <c r="G445" i="6"/>
  <c r="G444" i="6" s="1"/>
  <c r="H10" i="2"/>
  <c r="E446" i="6"/>
  <c r="E704" i="6" s="1"/>
  <c r="E706" i="6" s="1"/>
  <c r="F10" i="2"/>
  <c r="I166" i="1"/>
  <c r="E7" i="6"/>
  <c r="E648" i="6"/>
  <c r="E647" i="6" s="1"/>
  <c r="E607" i="6"/>
  <c r="I15" i="3"/>
  <c r="F31" i="9"/>
  <c r="F30" i="9" s="1"/>
  <c r="F27" i="9"/>
  <c r="F26" i="9" s="1"/>
  <c r="E27" i="9"/>
  <c r="E26" i="9" s="1"/>
  <c r="D35" i="9"/>
  <c r="D34" i="9" s="1"/>
  <c r="E25" i="9"/>
  <c r="E24" i="9" s="1"/>
  <c r="E549" i="6"/>
  <c r="E548" i="6" s="1"/>
  <c r="E547" i="6" s="1"/>
  <c r="I14" i="3"/>
  <c r="E354" i="6"/>
  <c r="E295" i="6"/>
  <c r="F25" i="9"/>
  <c r="F24" i="9" s="1"/>
  <c r="E529" i="6"/>
  <c r="E528" i="6" s="1"/>
  <c r="I295" i="1"/>
  <c r="I317" i="1" s="1"/>
  <c r="G166" i="1"/>
  <c r="G266" i="1"/>
  <c r="G294" i="1" s="1"/>
  <c r="G102" i="1"/>
  <c r="H201" i="1"/>
  <c r="H190" i="1" s="1"/>
  <c r="H265" i="1" s="1"/>
  <c r="G190" i="1"/>
  <c r="D16" i="9"/>
  <c r="D15" i="9" s="1"/>
  <c r="D6" i="9" s="1"/>
  <c r="I102" i="1"/>
  <c r="I189" i="1" s="1"/>
  <c r="H102" i="1"/>
  <c r="H166" i="1"/>
  <c r="G295" i="1"/>
  <c r="G317" i="1" s="1"/>
  <c r="I190" i="1"/>
  <c r="I347" i="1"/>
  <c r="I265" i="1"/>
  <c r="H295" i="1"/>
  <c r="H317" i="1" s="1"/>
  <c r="E16" i="9"/>
  <c r="E15" i="9" s="1"/>
  <c r="E6" i="9" s="1"/>
  <c r="H10" i="4"/>
  <c r="H51" i="4" s="1"/>
  <c r="G10" i="4"/>
  <c r="G51" i="4" s="1"/>
  <c r="D25" i="9"/>
  <c r="D24" i="9" s="1"/>
  <c r="F33" i="4"/>
  <c r="F10" i="4" s="1"/>
  <c r="F51" i="4" s="1"/>
  <c r="E492" i="6"/>
  <c r="E491" i="6" s="1"/>
  <c r="E490" i="6" s="1"/>
  <c r="E445" i="6" l="1"/>
  <c r="E444" i="6" s="1"/>
  <c r="G189" i="1"/>
  <c r="D31" i="9"/>
  <c r="D30" i="9" s="1"/>
  <c r="E31" i="9"/>
  <c r="E30" i="9" s="1"/>
  <c r="E10" i="8"/>
  <c r="E13" i="8" s="1"/>
  <c r="K14" i="3"/>
  <c r="K13" i="3" s="1"/>
  <c r="I348" i="1"/>
  <c r="I350" i="1" s="1"/>
  <c r="I352" i="1" s="1"/>
  <c r="G348" i="1"/>
  <c r="H189" i="1"/>
  <c r="H348" i="1"/>
  <c r="G265" i="1"/>
  <c r="I11" i="3"/>
  <c r="I10" i="3" s="1"/>
  <c r="F74" i="2"/>
  <c r="I13" i="3"/>
  <c r="D10" i="8"/>
  <c r="D15" i="8" s="1"/>
  <c r="G74" i="2"/>
  <c r="J11" i="3"/>
  <c r="J10" i="3" s="1"/>
  <c r="H74" i="2"/>
  <c r="K11" i="3"/>
  <c r="K10" i="3" s="1"/>
  <c r="D27" i="9"/>
  <c r="D26" i="9" s="1"/>
  <c r="E194" i="6"/>
  <c r="E6" i="6" s="1"/>
  <c r="E5" i="6" l="1"/>
  <c r="E14" i="8"/>
  <c r="E15" i="8"/>
  <c r="D14" i="8"/>
  <c r="D13" i="8"/>
  <c r="J14" i="3"/>
  <c r="J13" i="3" s="1"/>
  <c r="J16" i="3" s="1"/>
  <c r="J25" i="3" s="1"/>
  <c r="K16" i="3"/>
  <c r="K25" i="3" s="1"/>
  <c r="K38" i="3" s="1"/>
  <c r="F10" i="8"/>
  <c r="I16" i="3"/>
  <c r="F8" i="6"/>
  <c r="F704" i="6" s="1"/>
  <c r="F706" i="6" s="1"/>
  <c r="I25" i="3" l="1"/>
  <c r="J30" i="3" s="1"/>
  <c r="J31" i="3" s="1"/>
  <c r="K30" i="3" s="1"/>
  <c r="K31" i="3" s="1"/>
  <c r="F7" i="6"/>
  <c r="F6" i="6" s="1"/>
  <c r="J38" i="3"/>
  <c r="E12" i="8"/>
  <c r="E11" i="8" s="1"/>
  <c r="D12" i="8"/>
  <c r="D11" i="8" s="1"/>
  <c r="F14" i="8"/>
  <c r="F13" i="8"/>
  <c r="F15" i="8"/>
  <c r="G8" i="6"/>
  <c r="G704" i="6" s="1"/>
  <c r="G706" i="6" s="1"/>
  <c r="I38" i="3" l="1"/>
  <c r="I40" i="3" s="1"/>
  <c r="J37" i="3" s="1"/>
  <c r="F5" i="6"/>
  <c r="G7" i="6"/>
  <c r="G6" i="6" s="1"/>
  <c r="F12" i="8"/>
  <c r="F11" i="8" s="1"/>
  <c r="J40" i="3" l="1"/>
  <c r="K37" i="3" s="1"/>
  <c r="H253" i="4" s="1"/>
  <c r="H251" i="4" s="1"/>
  <c r="H250" i="4" s="1"/>
  <c r="H249" i="4" s="1"/>
  <c r="G253" i="4"/>
  <c r="G251" i="4" s="1"/>
  <c r="G250" i="4" s="1"/>
  <c r="G249" i="4" s="1"/>
  <c r="G5" i="6"/>
  <c r="D29" i="9"/>
  <c r="D28" i="9" s="1"/>
  <c r="F29" i="9"/>
  <c r="F28" i="9" s="1"/>
  <c r="F23" i="9" s="1"/>
  <c r="E29" i="9"/>
  <c r="E28" i="9" s="1"/>
  <c r="E23" i="9" s="1"/>
  <c r="D33" i="9"/>
  <c r="D32" i="9" s="1"/>
  <c r="K40" i="3" l="1"/>
  <c r="D23" i="9"/>
  <c r="F8" i="9" l="1"/>
  <c r="F7" i="9" s="1"/>
  <c r="F6" i="9" s="1"/>
</calcChain>
</file>

<file path=xl/sharedStrings.xml><?xml version="1.0" encoding="utf-8"?>
<sst xmlns="http://schemas.openxmlformats.org/spreadsheetml/2006/main" count="2947" uniqueCount="607">
  <si>
    <t>I. OPĆI DIO</t>
  </si>
  <si>
    <t>A. RAČUN PRIHODA</t>
  </si>
  <si>
    <t xml:space="preserve"> PRIHODI POSLOVANJA</t>
  </si>
  <si>
    <t>Razred</t>
  </si>
  <si>
    <t xml:space="preserve">Skupina/podskupina/odjeljak </t>
  </si>
  <si>
    <t>Izvor</t>
  </si>
  <si>
    <t xml:space="preserve">Naziv </t>
  </si>
  <si>
    <t xml:space="preserve">Prihodi poslovanja </t>
  </si>
  <si>
    <t>Prihodi iz nadležnog proračuna i od HZZO-a temeljem ugovornih obveza</t>
  </si>
  <si>
    <t>671</t>
  </si>
  <si>
    <t>Prihodi iz nadležnog proračuna za financiranje redovne djelatnosti proračunskih korisnika</t>
  </si>
  <si>
    <t>6711</t>
  </si>
  <si>
    <t>Prihodi iz nadležnog proračuna za financiranje rashoda poslovanja</t>
  </si>
  <si>
    <t>6712</t>
  </si>
  <si>
    <t>Prihodi iz nadležnog proračuna za nabavu nefinancijske imovine</t>
  </si>
  <si>
    <t>Opći prihodi i primici</t>
  </si>
  <si>
    <t>Pomoći iz inozemstva i od subjekata unutar općeg proračuna</t>
  </si>
  <si>
    <t>633</t>
  </si>
  <si>
    <t>Pomoći proračunu iz drugih proračuna</t>
  </si>
  <si>
    <t>6331</t>
  </si>
  <si>
    <t>Tekuće pomoći proračunu iz drugih proračuna</t>
  </si>
  <si>
    <t>6332</t>
  </si>
  <si>
    <t>Kapitalne pomoći proračunu iz drugih proračuna</t>
  </si>
  <si>
    <t>634</t>
  </si>
  <si>
    <t>Pomoći od izvanproračunskih korisnika</t>
  </si>
  <si>
    <t>6341</t>
  </si>
  <si>
    <t>Tekuće pomoći od HZZ-a, HZZO-a</t>
  </si>
  <si>
    <t>636</t>
  </si>
  <si>
    <t>Pomoći proračunskim korisnicima iz proračuna koji im nije nadležan</t>
  </si>
  <si>
    <t>6361</t>
  </si>
  <si>
    <t>Tekuće pomoći iz državnog proračuna proračunskim korisnicma JLP(R)S</t>
  </si>
  <si>
    <t>638</t>
  </si>
  <si>
    <t>Pomoć temeljem prijenosa EU sredstava</t>
  </si>
  <si>
    <t>6381</t>
  </si>
  <si>
    <t>Tekuće pomoći temeljem prijenosa EU sredstava</t>
  </si>
  <si>
    <t>6382</t>
  </si>
  <si>
    <t>Kapitalna pomoć temeljem prijenosa EU sredstava</t>
  </si>
  <si>
    <t>639</t>
  </si>
  <si>
    <t>Prijenosi između proračunskih korisnika istog proračuna</t>
  </si>
  <si>
    <t>6391</t>
  </si>
  <si>
    <t>Tekući prijenosi između proračunskih korisnika istog proračuna</t>
  </si>
  <si>
    <t>Pomoći</t>
  </si>
  <si>
    <t>Prihodi od imovine</t>
  </si>
  <si>
    <t>Prihodi od financijske imovine</t>
  </si>
  <si>
    <t>Ostali prihodi od financijske imovine</t>
  </si>
  <si>
    <t>Prihodi od upravnih i administrativnih pristojbi, pristojbi po posebnim propisima i nakanda</t>
  </si>
  <si>
    <t>Prihodi po posebnim propisima</t>
  </si>
  <si>
    <t>Ostali nespomenuti prihodi (participacija)</t>
  </si>
  <si>
    <t>673</t>
  </si>
  <si>
    <t>Prihodi od HZZO-a temeljem ugovora</t>
  </si>
  <si>
    <t>6731</t>
  </si>
  <si>
    <t>68</t>
  </si>
  <si>
    <t>Kazne, upravne mjere i ostali prihodi</t>
  </si>
  <si>
    <t>683</t>
  </si>
  <si>
    <t>Ostali prihodi</t>
  </si>
  <si>
    <t>6831</t>
  </si>
  <si>
    <t xml:space="preserve">Ostali prihodi za posebne namjene </t>
  </si>
  <si>
    <t>Kamate na oročena srredstva i depozite po viđenju</t>
  </si>
  <si>
    <t>Ostali prihodi od nefinancijske imovine</t>
  </si>
  <si>
    <t>Prihodi od prodaje proizvoda i robe te pruženih usluga i prihodi od donacija</t>
  </si>
  <si>
    <t>661</t>
  </si>
  <si>
    <t>Prihodi od prodaje proizvoda i robe te pruženih usluga</t>
  </si>
  <si>
    <t>6614</t>
  </si>
  <si>
    <t>Prihod od prodaje proizvoda i usluga</t>
  </si>
  <si>
    <t>6615</t>
  </si>
  <si>
    <t>Prihodi od pruženih usluga</t>
  </si>
  <si>
    <t>31</t>
  </si>
  <si>
    <t xml:space="preserve"> Vlastiti prihodi </t>
  </si>
  <si>
    <t>Donacije od pravnih i fizičkih osoba izvan općeg proračuna i povrat donacija po protestiranim jamstvima</t>
  </si>
  <si>
    <t>Tekuće donacije</t>
  </si>
  <si>
    <t>6632</t>
  </si>
  <si>
    <t>Kapitalne donacije</t>
  </si>
  <si>
    <t>61</t>
  </si>
  <si>
    <t xml:space="preserve">Donacije </t>
  </si>
  <si>
    <t xml:space="preserve">Ostali nespomenuti prihodi </t>
  </si>
  <si>
    <t>Prihodi od prodaje nefinacijske imovine i naknade šteta</t>
  </si>
  <si>
    <t>Prihodi od  prodaje nefinancijske imovine</t>
  </si>
  <si>
    <t>Prihodi od prodaje proizvedene dugotrajne imovine</t>
  </si>
  <si>
    <t>Prihodi od prodaje građevinskih objekata</t>
  </si>
  <si>
    <t>Stambeni objekti</t>
  </si>
  <si>
    <t>Prihodi od prodaje prijevoznih sredstava</t>
  </si>
  <si>
    <t>Prijevozna sredstva u cestovnom prometu</t>
  </si>
  <si>
    <t>Ukupni prihodi</t>
  </si>
  <si>
    <t>RASHODI POSLOVANJA</t>
  </si>
  <si>
    <t>IZVORNI PLAN</t>
  </si>
  <si>
    <t>TEKUĆI PLAN</t>
  </si>
  <si>
    <t xml:space="preserve">Izvršenje tekuće godine I.-IX.2023. </t>
  </si>
  <si>
    <t>3</t>
  </si>
  <si>
    <t>Rashodi poslovanja</t>
  </si>
  <si>
    <t>Rashodi za zaposlene</t>
  </si>
  <si>
    <t>Plaće</t>
  </si>
  <si>
    <t>Plaće za redovan rad</t>
  </si>
  <si>
    <t>3112</t>
  </si>
  <si>
    <t>Plaće u naravi</t>
  </si>
  <si>
    <t>3113</t>
  </si>
  <si>
    <t>Plaće za prekovremeni rad</t>
  </si>
  <si>
    <t>3114</t>
  </si>
  <si>
    <t>Plaća za posebne uvjete rada</t>
  </si>
  <si>
    <t>312</t>
  </si>
  <si>
    <t>Ostali rashodi za zaposlene</t>
  </si>
  <si>
    <t>3121</t>
  </si>
  <si>
    <t>Doprinosi na plaće</t>
  </si>
  <si>
    <t>Doprinosi za obvezno zdravstveno osiguranje</t>
  </si>
  <si>
    <t>Materijalni rashodi</t>
  </si>
  <si>
    <t>Naknade troškova zaposlenima</t>
  </si>
  <si>
    <t>3211</t>
  </si>
  <si>
    <t>Službena putovanja</t>
  </si>
  <si>
    <t>3212</t>
  </si>
  <si>
    <t>Naknade za prijevoz, za rad na terenu i odvojeni život</t>
  </si>
  <si>
    <t>3213</t>
  </si>
  <si>
    <t>Stručno usavršavanje zaposlenih</t>
  </si>
  <si>
    <t>3214</t>
  </si>
  <si>
    <t>Ostale naknade troškova zaposlenima</t>
  </si>
  <si>
    <t>322</t>
  </si>
  <si>
    <t>Rashodi za materijal i energiju</t>
  </si>
  <si>
    <t>3221</t>
  </si>
  <si>
    <t>Uredski materijal i ostali materijalni rashodi</t>
  </si>
  <si>
    <t>3222</t>
  </si>
  <si>
    <t>Materijal i sirovine</t>
  </si>
  <si>
    <t>3223</t>
  </si>
  <si>
    <t>Energija</t>
  </si>
  <si>
    <t>3224</t>
  </si>
  <si>
    <t>Materijal i dijelovi za tekuće i investicijsko održavanje</t>
  </si>
  <si>
    <t>3225</t>
  </si>
  <si>
    <t>Sitan inventar i autogume</t>
  </si>
  <si>
    <t>3227</t>
  </si>
  <si>
    <t>Službena radna i zaštitna odjeća</t>
  </si>
  <si>
    <t>323</t>
  </si>
  <si>
    <t>Rashodi za usluge</t>
  </si>
  <si>
    <t>3231</t>
  </si>
  <si>
    <t>Usluge telefona i pošte</t>
  </si>
  <si>
    <t>3232</t>
  </si>
  <si>
    <t>Usluge tekućeg i investicijskog održavanja</t>
  </si>
  <si>
    <t>3233</t>
  </si>
  <si>
    <t>Usluge promidžbe i informiranja</t>
  </si>
  <si>
    <t>3234</t>
  </si>
  <si>
    <t>Komunalne usluge</t>
  </si>
  <si>
    <t>Zakupnine i najamnine</t>
  </si>
  <si>
    <t>Zdravstvene i veterinarske usluge</t>
  </si>
  <si>
    <t>Intelektualne usluge</t>
  </si>
  <si>
    <t>3238</t>
  </si>
  <si>
    <t>Računalne usluge</t>
  </si>
  <si>
    <t>3239</t>
  </si>
  <si>
    <t>Ostale usluge</t>
  </si>
  <si>
    <t xml:space="preserve">Naknade troškova osobama izvan radnog odnosa </t>
  </si>
  <si>
    <t>Ostali nespomenuti rashodi poslovanja</t>
  </si>
  <si>
    <t>3291</t>
  </si>
  <si>
    <t>Naknade za rad predstavničkih i izvršnih tijela, povjerenstava i slično</t>
  </si>
  <si>
    <t>Premija osiguranja</t>
  </si>
  <si>
    <t>Reprezentacija</t>
  </si>
  <si>
    <t>Članarine i norme</t>
  </si>
  <si>
    <t>Pristojbe i naknade</t>
  </si>
  <si>
    <t>Troškovi sudskih postupaka</t>
  </si>
  <si>
    <t>3299</t>
  </si>
  <si>
    <t>Financijski rashodi</t>
  </si>
  <si>
    <t>Ostali financijski rashodi</t>
  </si>
  <si>
    <t>3431</t>
  </si>
  <si>
    <t>Bankarske usluge i usluge platnog prometa</t>
  </si>
  <si>
    <t>Zatezne kamate</t>
  </si>
  <si>
    <t>Ostali nespomenuti financijski rashodi</t>
  </si>
  <si>
    <t>Pomoći dane u iznozemstvo i unutar općeg proračuna</t>
  </si>
  <si>
    <t>Tekući prijenosi između proračunksih korisnika istog proračuna</t>
  </si>
  <si>
    <t>Kapitalni prijenosi između proračunksih korisnika istog proračuna</t>
  </si>
  <si>
    <t>Naknade građanima i kućanstvima na temelju osiguranja i dr nak</t>
  </si>
  <si>
    <t>Ostale naknade građanima i kućanstvima iz proračuna</t>
  </si>
  <si>
    <t>Naknade građanima i kućanstvima u novcu</t>
  </si>
  <si>
    <t>38</t>
  </si>
  <si>
    <t>381</t>
  </si>
  <si>
    <t>Tekuće donacije u novcu</t>
  </si>
  <si>
    <t>3811</t>
  </si>
  <si>
    <t>Kazne, penali i naknade štete</t>
  </si>
  <si>
    <t>Naknade štete pravnim i fizičkim osobama</t>
  </si>
  <si>
    <t>Naknada šteta zaposlenicima</t>
  </si>
  <si>
    <t>Ugovorne kazne i ostale naknade štete</t>
  </si>
  <si>
    <t>Ostale kazne</t>
  </si>
  <si>
    <t>Rashodi za nabavu nefinancijske imovine</t>
  </si>
  <si>
    <t>41</t>
  </si>
  <si>
    <t>Rashodi za nabavu neproizvedene dugotrajne imovine</t>
  </si>
  <si>
    <t>411</t>
  </si>
  <si>
    <t>Materijalna imovina - prirodna bogatstva</t>
  </si>
  <si>
    <t>4111</t>
  </si>
  <si>
    <t>Građevinsko zemljište</t>
  </si>
  <si>
    <t>Nematerijalna imovina - licence</t>
  </si>
  <si>
    <t>Licence</t>
  </si>
  <si>
    <t>Rashodi za nabavu proizvedene dug. imovine</t>
  </si>
  <si>
    <t>Postrojenja i oprema</t>
  </si>
  <si>
    <t>4221</t>
  </si>
  <si>
    <t>Uredska oprema i namještaj</t>
  </si>
  <si>
    <t>4222</t>
  </si>
  <si>
    <t>Komunikacijska oprema</t>
  </si>
  <si>
    <t>Oprema za održavanje iz zaštitu</t>
  </si>
  <si>
    <t>Medicinska i laboratorijska oprema</t>
  </si>
  <si>
    <t>Instrumenti, uređaji i strojevi</t>
  </si>
  <si>
    <t>Uređaji, strojevi i oprema za ostale namjene</t>
  </si>
  <si>
    <t>Prijevozna sredstva</t>
  </si>
  <si>
    <t xml:space="preserve">Nematerijalna proizvedena imovina </t>
  </si>
  <si>
    <t>Ulaganja u računalne programe</t>
  </si>
  <si>
    <t>45</t>
  </si>
  <si>
    <t>Rashodi za dodatna ulaganja na financijskoj imovini</t>
  </si>
  <si>
    <t>451</t>
  </si>
  <si>
    <t>Dodatna ulaganja na građevinskim objektima</t>
  </si>
  <si>
    <t>4511</t>
  </si>
  <si>
    <t>452</t>
  </si>
  <si>
    <t>Dodatna ulaganja na postrojenjima i opremi</t>
  </si>
  <si>
    <t>4521</t>
  </si>
  <si>
    <t>Dodatna ulaganja na potrojenjima i opremi</t>
  </si>
  <si>
    <t>Negativne tečajne razlike</t>
  </si>
  <si>
    <t>421</t>
  </si>
  <si>
    <t>Građevinski objekti</t>
  </si>
  <si>
    <t>4212</t>
  </si>
  <si>
    <t>Poslovni objekti</t>
  </si>
  <si>
    <t xml:space="preserve">Vlastiti prihodi </t>
  </si>
  <si>
    <t>Plaće za posebne uvjete rada</t>
  </si>
  <si>
    <t>313</t>
  </si>
  <si>
    <t>3132</t>
  </si>
  <si>
    <t>Doprinosi za obvezno zdravstveno osiguranje zaštite zdr na radu</t>
  </si>
  <si>
    <t>321</t>
  </si>
  <si>
    <t>3235</t>
  </si>
  <si>
    <t>3236</t>
  </si>
  <si>
    <t>3237</t>
  </si>
  <si>
    <t>329</t>
  </si>
  <si>
    <t>Ostali rashodi poslovanja</t>
  </si>
  <si>
    <t>3293</t>
  </si>
  <si>
    <t>3295</t>
  </si>
  <si>
    <t>422</t>
  </si>
  <si>
    <t xml:space="preserve">Pomoći </t>
  </si>
  <si>
    <t>3131</t>
  </si>
  <si>
    <t>Doprinosi za mirovinsko osiguranje</t>
  </si>
  <si>
    <t>Pomoći EU</t>
  </si>
  <si>
    <t>4223</t>
  </si>
  <si>
    <t>4224</t>
  </si>
  <si>
    <t>4225</t>
  </si>
  <si>
    <t>3292</t>
  </si>
  <si>
    <t>426</t>
  </si>
  <si>
    <t>4262</t>
  </si>
  <si>
    <t>71</t>
  </si>
  <si>
    <t>Prihodi od nefinancijske imovine i nadoknade šteta s osnova osiguranja</t>
  </si>
  <si>
    <t>Ukupni rashodi</t>
  </si>
  <si>
    <t>Županija</t>
  </si>
  <si>
    <t xml:space="preserve">PRIHODI PREMA EKONOMSKOJ KLASIFIKACIJI </t>
  </si>
  <si>
    <t>SAVJET: PRVO POPUNITE PRETHODNI LIST</t>
  </si>
  <si>
    <t>Pomoći od međunaodnih organizacija te institucija i tijela EU</t>
  </si>
  <si>
    <t>Kapitalne pomoći od instucija i tijela EU</t>
  </si>
  <si>
    <t>Pomoć proračunu iz drugih proračuna</t>
  </si>
  <si>
    <t>OVA TABLICA AUTOMATSKI POVLAČI IZNOSE IZ PRETHODNOG LISTA (PRIHODI PO EK KLAS I IZVORIMA)</t>
  </si>
  <si>
    <t>Tekuća pomoć proračunu iz drugih proračuna</t>
  </si>
  <si>
    <t>UKOLIKO STE U PRVOM LISTU DODAVALI RAČUNE MORATI ĆETE I U OVOME LISTU NAPRAVITI IZMJENE U FORMULI RAČUNA NA KOJI SE IZMJENA ODNOSI</t>
  </si>
  <si>
    <t>Kapitalna pomoć proračunu iz drugih proračuna</t>
  </si>
  <si>
    <t xml:space="preserve">Tekuće pomoći od izvanproračunskih korisnika </t>
  </si>
  <si>
    <t>Pomoć proračunskim korisnicima iz prorač.koji im nije nadležan</t>
  </si>
  <si>
    <t>Tekuće pomoći iz državnog prorač. prorač.korisnicima JLP(R)S</t>
  </si>
  <si>
    <t>Pomoć temeljem prijenosa EU</t>
  </si>
  <si>
    <t>kapitalna pomoć temeljem prijenosa EU</t>
  </si>
  <si>
    <t>Prijenosi između proračunskih korisnika</t>
  </si>
  <si>
    <t>Tekući prijenosi između proračunskih korisnika</t>
  </si>
  <si>
    <t>Kamate na oročena sredstva i depozite po viđenju</t>
  </si>
  <si>
    <t>Ostali prihode o financijske imovine</t>
  </si>
  <si>
    <t>Prihodi od prodaje i donacija</t>
  </si>
  <si>
    <t>Prihodi od prodaje roba i pruženih usluga (vlastiti prihodi)</t>
  </si>
  <si>
    <t>Prihodi od prodaje proizvoda i robe</t>
  </si>
  <si>
    <t>Donacije od pravnih i fizičkih osoba izvan proračuna</t>
  </si>
  <si>
    <t>Prihodi iz nadležnog proračuna i HZZOa</t>
  </si>
  <si>
    <t>Prihodi od HZZO-a</t>
  </si>
  <si>
    <t xml:space="preserve">     UKUPNO PRIHODI I PRIMICI:</t>
  </si>
  <si>
    <t>A) SAŽETAK  RAČUNA PRIHODA I RASHODA</t>
  </si>
  <si>
    <t>EUR</t>
  </si>
  <si>
    <t>BROJČANA OZNAKA I NAZIV</t>
  </si>
  <si>
    <t>PRIHODI UKUPNO</t>
  </si>
  <si>
    <t>6 PRIHODI POSLOVANJA</t>
  </si>
  <si>
    <t>7 PRIHODI OD PRODAJE NEFINANCIJSKE IMOVINE</t>
  </si>
  <si>
    <t>RASHODI UKUPNO</t>
  </si>
  <si>
    <t>3 RASHODI  POSLOVANJA</t>
  </si>
  <si>
    <t>4 RASHODI ZA NABAVU NEFINANCIJSKE IMOVINE</t>
  </si>
  <si>
    <t>RAZLIKA - VIŠAK MANJAK</t>
  </si>
  <si>
    <t>B) SAŽETAK RAČUNA FINANCIRANJA</t>
  </si>
  <si>
    <t>8 PRIMICI OD FINANCIJSKE IMOVINE I ZADUŽIVANJA</t>
  </si>
  <si>
    <t>5 IZDACI ZA FINANCIJSKU IMOVINU I OTPLATE ZAJMOVA</t>
  </si>
  <si>
    <t>NETO FINANCIRANJE</t>
  </si>
  <si>
    <t>VIŠAK / MANJAK + NETO FINANCIRANJE</t>
  </si>
  <si>
    <t>C) PRENESENI VIŠAK ILI PRENESENI MANJAK</t>
  </si>
  <si>
    <t>PRENESENI VIŠAK / MANJAK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</si>
  <si>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</si>
  <si>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</si>
  <si>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D) VIŠEGODIŠNJI PLAN URAVNOTEŽENJA</t>
  </si>
  <si>
    <t>PRIJENOS VIŠKA / MANJKA IZ PRETHODNE(IH) GODINE</t>
  </si>
  <si>
    <t>VIŠAK / MANJAK IZ PRETHODNE(IH) GODINE KOJI ĆE SE RASPOREDITI / POKRITI</t>
  </si>
  <si>
    <t>VIŠAK / MANJAK TEKUĆE GOINE</t>
  </si>
  <si>
    <t>A. RAČUN PRIHODA I RASHODA</t>
  </si>
  <si>
    <t>Izvršenje prethodne godine I.-VI. 2022.</t>
  </si>
  <si>
    <t>REBALANS 2023.</t>
  </si>
  <si>
    <t xml:space="preserve">Izvršenje tekuće godine I.-VI. 2023 </t>
  </si>
  <si>
    <t xml:space="preserve"> RASHODI POSLOVANJA</t>
  </si>
  <si>
    <t>Plaće (Bruto)</t>
  </si>
  <si>
    <t xml:space="preserve">Doprinosi na plaće </t>
  </si>
  <si>
    <t xml:space="preserve">Doprinosi za obavezno zdravst.osig. </t>
  </si>
  <si>
    <t>Naknade za prijevoz</t>
  </si>
  <si>
    <t>Materijal i dijelovi za tekuće i invest. održavanja</t>
  </si>
  <si>
    <t>Usluge telefona, pošte</t>
  </si>
  <si>
    <t>Naknade osobama izvan radnog odnosa</t>
  </si>
  <si>
    <t>Naknade tr.osobama izvan radnog odnosa</t>
  </si>
  <si>
    <t>Naknade za rad izvršnih tijela</t>
  </si>
  <si>
    <t>Financijski  rashodi</t>
  </si>
  <si>
    <t>Bankarske i usluge platnog prometa</t>
  </si>
  <si>
    <t xml:space="preserve">Ostali nespomenuti financijski rashodi </t>
  </si>
  <si>
    <t>Pomoći dane u inozemstvo i unutar općeg proračuna</t>
  </si>
  <si>
    <t>Tekući prijenosi između proračunskog korisnika istog proračuna</t>
  </si>
  <si>
    <t>Kapitalni prijenosi između proračunskih korisnika istog proračuna</t>
  </si>
  <si>
    <t xml:space="preserve">Ostali rashodi </t>
  </si>
  <si>
    <t>Naknada štete pravnim i fizičkim osobama</t>
  </si>
  <si>
    <t>Naknade šteta zaposlenicima</t>
  </si>
  <si>
    <t>Ostali izvanredni rashodi</t>
  </si>
  <si>
    <t>Rashodi za nabavu neproizvedene dugotrajne  imovine</t>
  </si>
  <si>
    <t>Rashodi za nabavu proizvedene dugotrajne  imovine</t>
  </si>
  <si>
    <t>Oprema za održavanje i zaštitu</t>
  </si>
  <si>
    <t>Nematerijalna proizvedena imovina</t>
  </si>
  <si>
    <t>UKUPNI RASHODI I IZDACI:</t>
  </si>
  <si>
    <t xml:space="preserve">KORIŠTENJE DEC-a SREDSTAVA ŽUPANIJE </t>
  </si>
  <si>
    <t>Ostale nespomenute usluge</t>
  </si>
  <si>
    <t>II. POSEBNI DIO</t>
  </si>
  <si>
    <t xml:space="preserve"> Rashodi i izdaci po izvorima financiranja i ekonomskoj klasifikaciji raspoređenih u programe, aktivnosti i projekte</t>
  </si>
  <si>
    <t>Šifra</t>
  </si>
  <si>
    <t>Naziv</t>
  </si>
  <si>
    <t>PROGRAM</t>
  </si>
  <si>
    <t>RAD I RAZVOJ USTANOVE</t>
  </si>
  <si>
    <t>AKTIVNOST</t>
  </si>
  <si>
    <t xml:space="preserve">Redovna djelatnost </t>
  </si>
  <si>
    <t>3133</t>
  </si>
  <si>
    <t>Prijenosi između prorač kor istog proračuna</t>
  </si>
  <si>
    <t>Kapitalni prijenosi između proračunskih korinsika istog prorač</t>
  </si>
  <si>
    <t>Naknade građanima i kućanstvima na temelju osig i dr nak</t>
  </si>
  <si>
    <t>Naknade građanima i kućanstvima iz proračuna</t>
  </si>
  <si>
    <t>Naknade šteta pravnim i fizičkim osobama</t>
  </si>
  <si>
    <t>Materijal i dijelovi za tek i invest održavanje</t>
  </si>
  <si>
    <t>Zaštitna odjeća i obuća</t>
  </si>
  <si>
    <t>3294</t>
  </si>
  <si>
    <t>3296</t>
  </si>
  <si>
    <t>34</t>
  </si>
  <si>
    <t>343</t>
  </si>
  <si>
    <t>3432</t>
  </si>
  <si>
    <t>3433</t>
  </si>
  <si>
    <t>3434</t>
  </si>
  <si>
    <t>37</t>
  </si>
  <si>
    <t>372</t>
  </si>
  <si>
    <t>3721</t>
  </si>
  <si>
    <t>383</t>
  </si>
  <si>
    <t>3834</t>
  </si>
  <si>
    <t>Ugovorne naknade i ostale naknade</t>
  </si>
  <si>
    <t>3835</t>
  </si>
  <si>
    <t>384</t>
  </si>
  <si>
    <t>Rashodi iz proteklih godina</t>
  </si>
  <si>
    <t>3842</t>
  </si>
  <si>
    <t>Ostali rashodi</t>
  </si>
  <si>
    <t>4</t>
  </si>
  <si>
    <t>412</t>
  </si>
  <si>
    <t>4123</t>
  </si>
  <si>
    <t>42</t>
  </si>
  <si>
    <t>4227</t>
  </si>
  <si>
    <t>423</t>
  </si>
  <si>
    <t>4231</t>
  </si>
  <si>
    <t>Ulaganja u računalna programe</t>
  </si>
  <si>
    <t>3833</t>
  </si>
  <si>
    <t>Naknade štete zaposlenicima</t>
  </si>
  <si>
    <t>KORIŠTENJE DEC-a SREDSTAVA ŽUPANIJE</t>
  </si>
  <si>
    <t>11</t>
  </si>
  <si>
    <t>Opći prihod i primitak</t>
  </si>
  <si>
    <t>Rashodi za nabavu proizvedene dugotrajne imovine</t>
  </si>
  <si>
    <t>Redovan program financiranja zdravstvenih ustanova iznad minimalnih standarda (pripravnost vozača saniteta u Iloku)</t>
  </si>
  <si>
    <t>32</t>
  </si>
  <si>
    <t>Redovan program financiranja zdravstvenih ustanova iznad minimalnih standarda (dodatna zdravstvena skrb braniteljske populacije-pregled usne šupljine)</t>
  </si>
  <si>
    <t>Redovan program financiranja zdravstvenih ustanova iznad minimalnih standarda (dodatna zdravstvena zaštita i promicanje dojenja)</t>
  </si>
  <si>
    <t>52</t>
  </si>
  <si>
    <t>36</t>
  </si>
  <si>
    <t>369</t>
  </si>
  <si>
    <t>3691</t>
  </si>
  <si>
    <t>Tekući prijenosi između proračunskih korisnika istog prorač.</t>
  </si>
  <si>
    <t>Sveukupno (kl.3 i kl.4)</t>
  </si>
  <si>
    <t xml:space="preserve">A. RAČUN PRIHODA I RASHODA </t>
  </si>
  <si>
    <t>IZVJEŠTAJ O RASHODIMA PREMA FUNKCIJSKOJ KLASIFIKACIJI</t>
  </si>
  <si>
    <t xml:space="preserve">UKUPNO RASHODI </t>
  </si>
  <si>
    <t>07 Zdravstvo</t>
  </si>
  <si>
    <t>072 Služba za vanjske pacijente</t>
  </si>
  <si>
    <t>0721 Opće medicinske usluge</t>
  </si>
  <si>
    <t>0722 Specijalističke med. usluge</t>
  </si>
  <si>
    <t>0723 Zubarske usluge</t>
  </si>
  <si>
    <t>073 Bolničke službe</t>
  </si>
  <si>
    <t>0731 Usluge općih bolnica</t>
  </si>
  <si>
    <t>074 Službe javnog zdravstva</t>
  </si>
  <si>
    <t xml:space="preserve">RASHODI PREMA EKONOMSKOJ KLASIFIKACIJI </t>
  </si>
  <si>
    <t>PRIHODI PREMA EKONOMSKOJ KLASIFIKACIJI I IZVORIMA FINANCIRANJA</t>
  </si>
  <si>
    <t>RASHODI PREMA EKONOMSKOJ KLASIFIKACIJI I IZVORIMA FINANCIRANJA</t>
  </si>
  <si>
    <t>PRIHODI I RASHODI PREMA IZVORIMA FINANCIRANJA</t>
  </si>
  <si>
    <t xml:space="preserve">UKUPNO PRIHODI </t>
  </si>
  <si>
    <t>1 Opći prihodi i primici</t>
  </si>
  <si>
    <t>2 Vlastiti prihodi</t>
  </si>
  <si>
    <t>3 Prihodi za posebne namjene</t>
  </si>
  <si>
    <t>4 Pomoći</t>
  </si>
  <si>
    <t>5 Donacije</t>
  </si>
  <si>
    <t>6 Prihodi od nefinancijske imovine i naknade štete s naslova osiguranja</t>
  </si>
  <si>
    <t xml:space="preserve">   11 Opći prihodi i primici</t>
  </si>
  <si>
    <t xml:space="preserve">   31 Vlastiti prihodi</t>
  </si>
  <si>
    <t xml:space="preserve">   43 Prihodi za posebne namjene (HZZO)</t>
  </si>
  <si>
    <t xml:space="preserve">   43 Prihodi za posebne namjene (dopunsko osiguranje, participacija,…)</t>
  </si>
  <si>
    <t xml:space="preserve">   43 Ostali prihodi</t>
  </si>
  <si>
    <t xml:space="preserve">   52 Ostale pomoći</t>
  </si>
  <si>
    <t xml:space="preserve">   61 Donacije</t>
  </si>
  <si>
    <t xml:space="preserve">   71 Prihodi od nefinancijske imovine i naknade štete s naslova osiguranja</t>
  </si>
  <si>
    <t xml:space="preserve">   43 Prihodi za posebne namjene</t>
  </si>
  <si>
    <t>Vlastiti izvori</t>
  </si>
  <si>
    <t>Višak/manjak prihoda</t>
  </si>
  <si>
    <t>Plaće po sudskim presudama</t>
  </si>
  <si>
    <t>Ostali nenavedeni rashodi za zaposlene</t>
  </si>
  <si>
    <t>Ostali rashodi za zaposlene-nagrade</t>
  </si>
  <si>
    <t>Otpremnine</t>
  </si>
  <si>
    <t>Darovi</t>
  </si>
  <si>
    <t>Naknade za bolest, invalidnost i smrt</t>
  </si>
  <si>
    <t>Regres za godišnji odmor</t>
  </si>
  <si>
    <t>Dnevnice za službeni put u zemlji</t>
  </si>
  <si>
    <t>Naknade za prijevoz, odvojeni život</t>
  </si>
  <si>
    <t>Naknade za smještaj na službenom putu u zemlji</t>
  </si>
  <si>
    <t>Naknade za prijevoz na službenom putu u zemlji</t>
  </si>
  <si>
    <t>Seminari, savjetovanja i simpoziji</t>
  </si>
  <si>
    <t>Tečajevi i stručni ispiti</t>
  </si>
  <si>
    <t>Naknada za korištenje privatnog automobila u službene svrhe</t>
  </si>
  <si>
    <t>Uredski materijal</t>
  </si>
  <si>
    <t>Literatura</t>
  </si>
  <si>
    <t>Materijal i sredstva za čišćenje i održavanje</t>
  </si>
  <si>
    <t>Službena, radna i zaštitna odjeća</t>
  </si>
  <si>
    <t>Ostali materijal za potrebe redovnog poslovanja</t>
  </si>
  <si>
    <t>Potrošni medicinski materijal</t>
  </si>
  <si>
    <t>Lijekovi</t>
  </si>
  <si>
    <t>Ostali materijal i sirovine</t>
  </si>
  <si>
    <t>Motorni benzin i dizel gorivo</t>
  </si>
  <si>
    <t>Električna energija</t>
  </si>
  <si>
    <t>Topla voda</t>
  </si>
  <si>
    <t>Plin</t>
  </si>
  <si>
    <t>Materijal i dijelovi za tekuće i invest. održavanje građevinskih objekata</t>
  </si>
  <si>
    <t>Materijal i dijelovi za tekuće i invest. održavanje transportnih sredstava</t>
  </si>
  <si>
    <t>Materijal i dijelovi za tekuće i invest. održavanje postrojenja i opreme</t>
  </si>
  <si>
    <t>Ostali materijal i dijelovi za tekuće i invest. održavanje</t>
  </si>
  <si>
    <t>Usluge telefona, telefaksa</t>
  </si>
  <si>
    <t>Poštarina</t>
  </si>
  <si>
    <t>Usluge tekućeg i investicijskog održavanja prijevoznih sredstava</t>
  </si>
  <si>
    <t>Usluge tekućeg i investicijskog održavanja građevinskih objekata</t>
  </si>
  <si>
    <t>Usluge tekućeg i investicijskog održavanja postrojenja i opreme</t>
  </si>
  <si>
    <t>Ostale usluge promidžbe i informiranja</t>
  </si>
  <si>
    <t>Opskrba vodom</t>
  </si>
  <si>
    <t>Iznošenje i odvoz smeća</t>
  </si>
  <si>
    <t>Deratizacija i dezinsekcija</t>
  </si>
  <si>
    <t>Ostale komunalne usluge</t>
  </si>
  <si>
    <t>Ostale zakupnine i najamnine</t>
  </si>
  <si>
    <t>Ostale zdravstvene i veterinarske usluge</t>
  </si>
  <si>
    <t>Ugovori o djelu</t>
  </si>
  <si>
    <t>Usluge odvjetnika i pravnog savjetovanja</t>
  </si>
  <si>
    <t>Ostale računalne usluge</t>
  </si>
  <si>
    <t>Usluge pri registraciji prijevoznih sredstava</t>
  </si>
  <si>
    <t>Usluge čišćenja, pranja i slično</t>
  </si>
  <si>
    <t>Premije osiguranja zaposlenih</t>
  </si>
  <si>
    <t>Premije osiguranja</t>
  </si>
  <si>
    <t>Premije osiguranja ostale imovine</t>
  </si>
  <si>
    <t>Premije osiguranja prijevoznih sredstava</t>
  </si>
  <si>
    <t>Tuzemne članarine</t>
  </si>
  <si>
    <t>Ostale pristojbe i naknade</t>
  </si>
  <si>
    <t>Sudske pristojbe</t>
  </si>
  <si>
    <t>Javnobilježničke pristojbe</t>
  </si>
  <si>
    <t>Rashodi protokola (vijenci, cvijeće, svijeće i slično)</t>
  </si>
  <si>
    <t>Naknade ostalih troškova</t>
  </si>
  <si>
    <t>Usluge platnog prometa</t>
  </si>
  <si>
    <t>Zatezne kamate na poreze</t>
  </si>
  <si>
    <t>Zatezne kamate za doprinose</t>
  </si>
  <si>
    <t>Zatezne kamate iz poslovnih odnosa</t>
  </si>
  <si>
    <t>Ostale zatezne kamate</t>
  </si>
  <si>
    <t>Pomoći obiteljima i kućanstvima</t>
  </si>
  <si>
    <t>Stipendije i školarine</t>
  </si>
  <si>
    <t>Računala i računalna oprema</t>
  </si>
  <si>
    <t>Uredski namještaj</t>
  </si>
  <si>
    <t>Ostala uredska oprema</t>
  </si>
  <si>
    <t>Oprema za održavanje prostorija</t>
  </si>
  <si>
    <t>Oprema za grijanje, ventilaciju i hlađenje</t>
  </si>
  <si>
    <t>Medicinska oprema</t>
  </si>
  <si>
    <t>Laboratorijska oprema</t>
  </si>
  <si>
    <t>Osobni automobili</t>
  </si>
  <si>
    <t>Sufinanciranje cijene usluge, participacija</t>
  </si>
  <si>
    <t>Prihodi od osiguranja i refundacije štete</t>
  </si>
  <si>
    <t>Refundacija plaća specijalizanata</t>
  </si>
  <si>
    <t>67111</t>
  </si>
  <si>
    <t>67121</t>
  </si>
  <si>
    <t>63414</t>
  </si>
  <si>
    <t>63612</t>
  </si>
  <si>
    <t>63814</t>
  </si>
  <si>
    <t>67311</t>
  </si>
  <si>
    <t>68311</t>
  </si>
  <si>
    <t>66151</t>
  </si>
  <si>
    <t>66313</t>
  </si>
  <si>
    <t>6631</t>
  </si>
  <si>
    <t>31111</t>
  </si>
  <si>
    <t>31113</t>
  </si>
  <si>
    <t>31131</t>
  </si>
  <si>
    <t>31141</t>
  </si>
  <si>
    <t>31212</t>
  </si>
  <si>
    <t>31213</t>
  </si>
  <si>
    <t>31214</t>
  </si>
  <si>
    <t>31215</t>
  </si>
  <si>
    <t>31216</t>
  </si>
  <si>
    <t>31219</t>
  </si>
  <si>
    <t>31321</t>
  </si>
  <si>
    <t>32121</t>
  </si>
  <si>
    <t>32141</t>
  </si>
  <si>
    <t>32221</t>
  </si>
  <si>
    <t>32226</t>
  </si>
  <si>
    <t>32229</t>
  </si>
  <si>
    <t>32231</t>
  </si>
  <si>
    <t>32232</t>
  </si>
  <si>
    <t>32233</t>
  </si>
  <si>
    <t>32234</t>
  </si>
  <si>
    <t>32251</t>
  </si>
  <si>
    <t>32271</t>
  </si>
  <si>
    <t>32311</t>
  </si>
  <si>
    <t>32313</t>
  </si>
  <si>
    <t>32339</t>
  </si>
  <si>
    <t>Ostale intelektualne usluge</t>
  </si>
  <si>
    <t>32412</t>
  </si>
  <si>
    <t>Pomoći obitelji i kućanstvima</t>
  </si>
  <si>
    <t>41112</t>
  </si>
  <si>
    <t>45111</t>
  </si>
  <si>
    <t>32115</t>
  </si>
  <si>
    <t>32132</t>
  </si>
  <si>
    <t>32211</t>
  </si>
  <si>
    <t>32369</t>
  </si>
  <si>
    <t>32372</t>
  </si>
  <si>
    <t>32399</t>
  </si>
  <si>
    <t>32921</t>
  </si>
  <si>
    <t>Premija osiguranja prijevoznih sredstava</t>
  </si>
  <si>
    <t>42241</t>
  </si>
  <si>
    <t>32389</t>
  </si>
  <si>
    <t>3111</t>
  </si>
  <si>
    <t>32111</t>
  </si>
  <si>
    <t>42212</t>
  </si>
  <si>
    <t>42231</t>
  </si>
  <si>
    <t>32321</t>
  </si>
  <si>
    <t>32322</t>
  </si>
  <si>
    <t>32323</t>
  </si>
  <si>
    <t>42211</t>
  </si>
  <si>
    <t>32113</t>
  </si>
  <si>
    <t>Naknada za korištenje privatnog autoobila u službene svrhe</t>
  </si>
  <si>
    <t>32131</t>
  </si>
  <si>
    <t>32212</t>
  </si>
  <si>
    <t>32214</t>
  </si>
  <si>
    <t>32215</t>
  </si>
  <si>
    <t>32219</t>
  </si>
  <si>
    <t>Ostale sirovine</t>
  </si>
  <si>
    <t>32241</t>
  </si>
  <si>
    <t>32242</t>
  </si>
  <si>
    <t>32243</t>
  </si>
  <si>
    <t>32244</t>
  </si>
  <si>
    <t>32341</t>
  </si>
  <si>
    <t>32342</t>
  </si>
  <si>
    <t>32343</t>
  </si>
  <si>
    <t>Usluge odvjetnika i pravnog savjetnika</t>
  </si>
  <si>
    <t>Tuzemna članarine</t>
  </si>
  <si>
    <t>42219</t>
  </si>
  <si>
    <t xml:space="preserve">Materijal i dijelovi za tekuće i investicijsko održavanje </t>
  </si>
  <si>
    <t>Materijal i dijelovi za tekuće i investicijsko održavanje građ. objekata</t>
  </si>
  <si>
    <t>Ostale  usluge</t>
  </si>
  <si>
    <t>Naknade za rad predstavničkih i izvršnih tijela, povjerenstava i sl.</t>
  </si>
  <si>
    <t>Program dodjele financijskih sredstava Ministarstva zdravstva u području prevencije ovisnosti i ponašajnih ovisnosti "Stop ovisnostima"</t>
  </si>
  <si>
    <t>Program dodjele financijskih sredstava HEP-a na ime naknade za proizvod ZelEn (Fotonaponska elektrana na krovištu Doma zdravlja Vukovar)</t>
  </si>
  <si>
    <t>FINANCIJSKI PLAN PRORAČUNSKOG KORISNIKA DOMA ZDRAVLJA VUKOVAR ZA 2026. I PROJEKCIJA ZA 2027. I 2028. GODINU</t>
  </si>
  <si>
    <t>IZVRŠENJE 
2024.</t>
  </si>
  <si>
    <t>PROJEKCIJA ZA
2028.</t>
  </si>
  <si>
    <t>PLAN ZA
2026.</t>
  </si>
  <si>
    <t>PROJEKCIJA ZA 
2027.</t>
  </si>
  <si>
    <t>TEKUĆI PLAN ZA
2025.</t>
  </si>
  <si>
    <t>Kombi vozila</t>
  </si>
  <si>
    <t>31332</t>
  </si>
  <si>
    <t>Doprinosi za zapošljavanje</t>
  </si>
  <si>
    <t>Doprinosi u slučaju nezaposlenosti</t>
  </si>
  <si>
    <t>32319</t>
  </si>
  <si>
    <t>Ostale usluge za komunikaciju i prijevoz</t>
  </si>
  <si>
    <t>Geodetsko-katastarske usluge</t>
  </si>
  <si>
    <t>Ostali instrumenti i uređaji</t>
  </si>
  <si>
    <t>Program financiranja projekta "Pokretni dijagnostički centar" od strane Fonda za obnovu i razvoj Grada Vukovara</t>
  </si>
  <si>
    <t>Medicinska i labaratorijska oprema</t>
  </si>
  <si>
    <t>Materijal i sredstva za čišćenje</t>
  </si>
  <si>
    <t>32379</t>
  </si>
  <si>
    <t>32931</t>
  </si>
  <si>
    <t>Prihodi od zateznih kamata</t>
  </si>
  <si>
    <t>66153</t>
  </si>
  <si>
    <t>Prihodi za udio troškova u zakupu</t>
  </si>
  <si>
    <t>63313</t>
  </si>
  <si>
    <t>Tekuće potpore iz gradskog proračuna</t>
  </si>
  <si>
    <t>6362</t>
  </si>
  <si>
    <t>63622</t>
  </si>
  <si>
    <t>Kapitalne pomoći iz državnog proračuna proračunskim korisnicima JLP(R)S</t>
  </si>
  <si>
    <t>Kapitalne pomoći iz državnog prorač. prorač.korisnicima JLP(R)S</t>
  </si>
  <si>
    <t>325</t>
  </si>
  <si>
    <t>3251</t>
  </si>
  <si>
    <t>32511</t>
  </si>
  <si>
    <t>32513</t>
  </si>
  <si>
    <t>Rashodi po osnovi utroška lijekova</t>
  </si>
  <si>
    <t>Rashodi po osnovi utroška potrošnog medicinskog materijala</t>
  </si>
  <si>
    <t>Usluge telefona, pošte i prijevoza</t>
  </si>
  <si>
    <t>Program financiranja zdravstvenih ustanova iz fondova EU (projekt specijalističko usavršavanje dva doktora medicine iz obiteljske medicine)</t>
  </si>
  <si>
    <t>Program financiranja zdravstvenih ustanova iz fondova EU (projekt specijalističko usavršavanje jednog doktora medicine iz obiteljske medicine)</t>
  </si>
  <si>
    <t>Ostali instrumenti i uređaj</t>
  </si>
  <si>
    <t>Manjak prihoda</t>
  </si>
  <si>
    <t>Vlastiti prihodi-manjak</t>
  </si>
  <si>
    <t>Prihodi za posebne namjene-manjak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</si>
</sst>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_-* #,##0.00\ &quot;kn&quot;_-;\-* #,##0.00\ &quot;kn&quot;_-;_-* &quot;-&quot;??\ &quot;kn&quot;_-;_-@_-"/>
    <numFmt numFmtId="165" formatCode="_-* #,##0.00\ [$€-1]_-;\-* #,##0.00\ [$€-1]_-;_-* &quot;-&quot;??\ [$€-1]_-;_-@_-"/>
    <numFmt numFmtId="166" formatCode="#,##0.00\ [$€-41A]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indexed="8"/>
      <name val="MS Sans Serif"/>
      <family val="2"/>
      <charset val="238"/>
    </font>
    <font>
      <sz val="10"/>
      <color indexed="8"/>
      <name val="Arial"/>
      <family val="2"/>
      <charset val="238"/>
    </font>
    <font>
      <b/>
      <sz val="12"/>
      <color indexed="8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sz val="12"/>
      <color indexed="8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2"/>
      <color theme="3" tint="-0.249977111117893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sz val="12"/>
      <color theme="3" tint="-0.249977111117893"/>
      <name val="Times New Roman"/>
      <family val="1"/>
      <charset val="238"/>
    </font>
    <font>
      <b/>
      <sz val="12"/>
      <color theme="3" tint="-0.499984740745262"/>
      <name val="Times New Roman"/>
      <family val="1"/>
      <charset val="238"/>
    </font>
    <font>
      <sz val="12"/>
      <color theme="3" tint="-0.499984740745262"/>
      <name val="Times New Roman"/>
      <family val="1"/>
      <charset val="238"/>
    </font>
    <font>
      <sz val="12"/>
      <color theme="3" tint="0.3999755851924192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i/>
      <sz val="12"/>
      <name val="Times New Roman"/>
      <family val="1"/>
      <charset val="238"/>
    </font>
    <font>
      <b/>
      <sz val="12"/>
      <color rgb="FF002060"/>
      <name val="Times New Roman"/>
      <family val="1"/>
      <charset val="238"/>
    </font>
    <font>
      <b/>
      <sz val="12"/>
      <color theme="8" tint="-0.499984740745262"/>
      <name val="Times New Roman"/>
      <family val="1"/>
      <charset val="238"/>
    </font>
    <font>
      <sz val="12"/>
      <color rgb="FF002060"/>
      <name val="Times New Roman"/>
      <family val="1"/>
      <charset val="238"/>
    </font>
    <font>
      <b/>
      <i/>
      <sz val="12"/>
      <color rgb="FF002060"/>
      <name val="Times New Roman"/>
      <family val="1"/>
      <charset val="238"/>
    </font>
    <font>
      <i/>
      <sz val="12"/>
      <color rgb="FF002060"/>
      <name val="Times New Roman"/>
      <family val="1"/>
      <charset val="238"/>
    </font>
    <font>
      <b/>
      <i/>
      <sz val="12"/>
      <color rgb="FFFF0000"/>
      <name val="Times New Roman"/>
      <family val="1"/>
      <charset val="238"/>
    </font>
    <font>
      <sz val="12"/>
      <color theme="8" tint="-0.499984740745262"/>
      <name val="Times New Roman"/>
      <family val="1"/>
      <charset val="238"/>
    </font>
    <font>
      <sz val="12"/>
      <color rgb="FFFF0000"/>
      <name val="Times New Roman"/>
      <family val="1"/>
      <charset val="238"/>
    </font>
    <font>
      <i/>
      <sz val="12"/>
      <color rgb="FF000000"/>
      <name val="Times New Roman"/>
      <family val="1"/>
      <charset val="238"/>
    </font>
    <font>
      <b/>
      <i/>
      <sz val="12"/>
      <color rgb="FF000000"/>
      <name val="Times New Roman"/>
      <family val="1"/>
      <charset val="238"/>
    </font>
    <font>
      <i/>
      <sz val="12"/>
      <color rgb="FFFF0000"/>
      <name val="Times New Roman"/>
      <family val="1"/>
      <charset val="238"/>
    </font>
    <font>
      <b/>
      <i/>
      <sz val="12"/>
      <color theme="8" tint="-0.499984740745262"/>
      <name val="Times New Roman"/>
      <family val="1"/>
      <charset val="238"/>
    </font>
    <font>
      <b/>
      <i/>
      <sz val="12"/>
      <name val="Times New Roman"/>
      <family val="1"/>
      <charset val="238"/>
    </font>
    <font>
      <b/>
      <i/>
      <sz val="12"/>
      <color theme="3" tint="-0.499984740745262"/>
      <name val="Times New Roman"/>
      <family val="1"/>
      <charset val="238"/>
    </font>
    <font>
      <i/>
      <sz val="12"/>
      <color theme="3" tint="-0.499984740745262"/>
      <name val="Times New Roman"/>
      <family val="1"/>
      <charset val="238"/>
    </font>
    <font>
      <i/>
      <sz val="12"/>
      <color theme="8" tint="-0.499984740745262"/>
      <name val="Times New Roman"/>
      <family val="1"/>
      <charset val="238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7" tint="0.59999389629810485"/>
        <bgColor rgb="FFFFFFFF"/>
      </patternFill>
    </fill>
    <fill>
      <patternFill patternType="solid">
        <fgColor theme="4" tint="0.39997558519241921"/>
        <bgColor rgb="FFFFFFFF"/>
      </patternFill>
    </fill>
    <fill>
      <patternFill patternType="solid">
        <fgColor theme="4" tint="0.79998168889431442"/>
        <bgColor rgb="FFFFFFFF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rgb="FFFFFFFF"/>
      </patternFill>
    </fill>
    <fill>
      <patternFill patternType="solid">
        <fgColor theme="9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rgb="FF00206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indexed="64"/>
      </left>
      <right/>
      <top style="thin">
        <color indexed="64"/>
      </top>
      <bottom style="thin">
        <color rgb="FF002060"/>
      </bottom>
      <diagonal/>
    </border>
    <border>
      <left style="thin">
        <color indexed="64"/>
      </left>
      <right/>
      <top style="thin">
        <color rgb="FF002060"/>
      </top>
      <bottom style="thin">
        <color rgb="FF002060"/>
      </bottom>
      <diagonal/>
    </border>
    <border>
      <left style="thin">
        <color indexed="64"/>
      </left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 style="thin">
        <color indexed="64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 style="thin">
        <color indexed="64"/>
      </left>
      <right style="thin">
        <color indexed="64"/>
      </right>
      <top style="thin">
        <color rgb="FF002060"/>
      </top>
      <bottom/>
      <diagonal/>
    </border>
    <border>
      <left style="thin">
        <color indexed="64"/>
      </left>
      <right style="thin">
        <color indexed="64"/>
      </right>
      <top style="thin">
        <color rgb="FF00206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9">
    <xf numFmtId="0" fontId="0" fillId="0" borderId="0"/>
    <xf numFmtId="164" fontId="2" fillId="0" borderId="0" applyFont="0" applyFill="0" applyBorder="0" applyAlignment="0" applyProtection="0"/>
    <xf numFmtId="0" fontId="1" fillId="0" borderId="0"/>
    <xf numFmtId="0" fontId="3" fillId="0" borderId="0"/>
    <xf numFmtId="164" fontId="4" fillId="0" borderId="0" applyFont="0" applyFill="0" applyBorder="0" applyAlignment="0" applyProtection="0"/>
    <xf numFmtId="0" fontId="3" fillId="0" borderId="0"/>
    <xf numFmtId="0" fontId="1" fillId="0" borderId="0"/>
    <xf numFmtId="0" fontId="5" fillId="0" borderId="0"/>
    <xf numFmtId="0" fontId="1" fillId="0" borderId="0"/>
  </cellStyleXfs>
  <cellXfs count="602">
    <xf numFmtId="0" fontId="0" fillId="0" borderId="0" xfId="0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quotePrefix="1" applyFont="1" applyAlignment="1">
      <alignment horizontal="left" wrapText="1"/>
    </xf>
    <xf numFmtId="0" fontId="9" fillId="0" borderId="0" xfId="0" applyFont="1" applyAlignment="1">
      <alignment wrapText="1"/>
    </xf>
    <xf numFmtId="3" fontId="6" fillId="0" borderId="0" xfId="0" applyNumberFormat="1" applyFont="1" applyAlignment="1">
      <alignment horizontal="right"/>
    </xf>
    <xf numFmtId="0" fontId="7" fillId="0" borderId="0" xfId="0" applyFont="1"/>
    <xf numFmtId="0" fontId="6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6" fillId="0" borderId="12" xfId="0" applyFont="1" applyBorder="1" applyAlignment="1">
      <alignment horizontal="left" wrapText="1"/>
    </xf>
    <xf numFmtId="0" fontId="11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right" vertical="center"/>
    </xf>
    <xf numFmtId="0" fontId="6" fillId="0" borderId="13" xfId="0" quotePrefix="1" applyFont="1" applyBorder="1" applyAlignment="1">
      <alignment horizontal="center" wrapText="1"/>
    </xf>
    <xf numFmtId="0" fontId="6" fillId="0" borderId="10" xfId="0" quotePrefix="1" applyFont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quotePrefix="1" applyFont="1" applyBorder="1" applyAlignment="1">
      <alignment horizontal="center" vertical="center" wrapText="1"/>
    </xf>
    <xf numFmtId="0" fontId="6" fillId="0" borderId="2" xfId="0" quotePrefix="1" applyFont="1" applyBorder="1" applyAlignment="1">
      <alignment horizontal="center" wrapText="1"/>
    </xf>
    <xf numFmtId="0" fontId="9" fillId="9" borderId="14" xfId="0" applyFont="1" applyFill="1" applyBorder="1" applyAlignment="1">
      <alignment vertical="center"/>
    </xf>
    <xf numFmtId="4" fontId="6" fillId="9" borderId="2" xfId="0" applyNumberFormat="1" applyFont="1" applyFill="1" applyBorder="1" applyAlignment="1">
      <alignment horizontal="right"/>
    </xf>
    <xf numFmtId="4" fontId="6" fillId="0" borderId="2" xfId="0" applyNumberFormat="1" applyFont="1" applyBorder="1" applyAlignment="1">
      <alignment horizontal="right"/>
    </xf>
    <xf numFmtId="0" fontId="8" fillId="9" borderId="13" xfId="0" applyFont="1" applyFill="1" applyBorder="1" applyAlignment="1">
      <alignment horizontal="left" vertical="center"/>
    </xf>
    <xf numFmtId="0" fontId="9" fillId="0" borderId="2" xfId="0" applyFont="1" applyBorder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/>
    <xf numFmtId="0" fontId="8" fillId="0" borderId="2" xfId="0" applyFont="1" applyBorder="1" applyAlignment="1">
      <alignment horizontal="left" vertical="center" wrapText="1"/>
    </xf>
    <xf numFmtId="3" fontId="6" fillId="0" borderId="2" xfId="0" applyNumberFormat="1" applyFont="1" applyBorder="1" applyAlignment="1">
      <alignment horizontal="right"/>
    </xf>
    <xf numFmtId="0" fontId="8" fillId="9" borderId="2" xfId="0" applyFont="1" applyFill="1" applyBorder="1" applyAlignment="1">
      <alignment horizontal="left" vertical="center" wrapText="1"/>
    </xf>
    <xf numFmtId="3" fontId="6" fillId="9" borderId="2" xfId="0" applyNumberFormat="1" applyFont="1" applyFill="1" applyBorder="1" applyAlignment="1">
      <alignment horizontal="right"/>
    </xf>
    <xf numFmtId="0" fontId="7" fillId="9" borderId="0" xfId="0" applyFont="1" applyFill="1"/>
    <xf numFmtId="0" fontId="12" fillId="0" borderId="0" xfId="0" applyFont="1" applyAlignment="1">
      <alignment horizontal="center"/>
    </xf>
    <xf numFmtId="3" fontId="8" fillId="4" borderId="2" xfId="3" applyNumberFormat="1" applyFont="1" applyFill="1" applyBorder="1" applyAlignment="1">
      <alignment horizontal="center" vertical="center" wrapText="1"/>
    </xf>
    <xf numFmtId="0" fontId="8" fillId="4" borderId="2" xfId="3" applyFont="1" applyFill="1" applyBorder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15" fillId="0" borderId="0" xfId="3" applyFont="1" applyAlignment="1">
      <alignment horizontal="center" vertical="center"/>
    </xf>
    <xf numFmtId="3" fontId="8" fillId="4" borderId="2" xfId="3" applyNumberFormat="1" applyFont="1" applyFill="1" applyBorder="1" applyAlignment="1">
      <alignment horizontal="center" vertical="center"/>
    </xf>
    <xf numFmtId="0" fontId="8" fillId="10" borderId="2" xfId="3" applyFont="1" applyFill="1" applyBorder="1" applyAlignment="1">
      <alignment horizontal="center" vertical="center"/>
    </xf>
    <xf numFmtId="0" fontId="8" fillId="10" borderId="2" xfId="3" applyFont="1" applyFill="1" applyBorder="1" applyAlignment="1">
      <alignment horizontal="center" vertical="center" wrapText="1"/>
    </xf>
    <xf numFmtId="165" fontId="8" fillId="10" borderId="2" xfId="3" applyNumberFormat="1" applyFont="1" applyFill="1" applyBorder="1" applyAlignment="1">
      <alignment horizontal="right" vertical="center"/>
    </xf>
    <xf numFmtId="0" fontId="8" fillId="0" borderId="2" xfId="3" applyFont="1" applyBorder="1" applyAlignment="1">
      <alignment horizontal="center" vertical="center"/>
    </xf>
    <xf numFmtId="0" fontId="8" fillId="9" borderId="2" xfId="3" applyFont="1" applyFill="1" applyBorder="1" applyAlignment="1">
      <alignment horizontal="center" vertical="center" wrapText="1"/>
    </xf>
    <xf numFmtId="0" fontId="8" fillId="9" borderId="2" xfId="3" applyFont="1" applyFill="1" applyBorder="1" applyAlignment="1">
      <alignment horizontal="left" vertical="center"/>
    </xf>
    <xf numFmtId="165" fontId="8" fillId="9" borderId="2" xfId="3" applyNumberFormat="1" applyFont="1" applyFill="1" applyBorder="1" applyAlignment="1">
      <alignment horizontal="right" vertical="center"/>
    </xf>
    <xf numFmtId="0" fontId="11" fillId="0" borderId="0" xfId="0" applyFont="1"/>
    <xf numFmtId="0" fontId="17" fillId="0" borderId="0" xfId="0" applyFont="1"/>
    <xf numFmtId="0" fontId="8" fillId="0" borderId="2" xfId="3" applyFont="1" applyBorder="1" applyAlignment="1">
      <alignment horizontal="center" vertical="center" wrapText="1"/>
    </xf>
    <xf numFmtId="0" fontId="8" fillId="0" borderId="2" xfId="3" applyFont="1" applyBorder="1" applyAlignment="1">
      <alignment horizontal="left" vertical="center" wrapText="1"/>
    </xf>
    <xf numFmtId="165" fontId="8" fillId="0" borderId="2" xfId="3" applyNumberFormat="1" applyFont="1" applyBorder="1" applyAlignment="1">
      <alignment horizontal="right" vertical="center"/>
    </xf>
    <xf numFmtId="0" fontId="9" fillId="0" borderId="2" xfId="3" applyFont="1" applyBorder="1" applyAlignment="1">
      <alignment horizontal="center" vertical="center" wrapText="1"/>
    </xf>
    <xf numFmtId="0" fontId="9" fillId="0" borderId="2" xfId="3" applyFont="1" applyBorder="1" applyAlignment="1">
      <alignment horizontal="left" vertical="center"/>
    </xf>
    <xf numFmtId="165" fontId="9" fillId="0" borderId="2" xfId="3" applyNumberFormat="1" applyFont="1" applyBorder="1" applyAlignment="1">
      <alignment vertical="center"/>
    </xf>
    <xf numFmtId="0" fontId="8" fillId="0" borderId="2" xfId="3" applyFont="1" applyBorder="1" applyAlignment="1">
      <alignment horizontal="left" vertical="center"/>
    </xf>
    <xf numFmtId="0" fontId="8" fillId="0" borderId="2" xfId="3" applyFont="1" applyBorder="1" applyAlignment="1">
      <alignment vertical="center"/>
    </xf>
    <xf numFmtId="165" fontId="8" fillId="0" borderId="2" xfId="3" applyNumberFormat="1" applyFont="1" applyBorder="1" applyAlignment="1">
      <alignment vertical="center"/>
    </xf>
    <xf numFmtId="0" fontId="7" fillId="0" borderId="0" xfId="0" applyFont="1" applyAlignment="1">
      <alignment vertical="center"/>
    </xf>
    <xf numFmtId="0" fontId="9" fillId="0" borderId="2" xfId="3" applyFont="1" applyBorder="1" applyAlignment="1">
      <alignment horizontal="center" vertical="center"/>
    </xf>
    <xf numFmtId="49" fontId="9" fillId="4" borderId="2" xfId="3" applyNumberFormat="1" applyFont="1" applyFill="1" applyBorder="1" applyAlignment="1">
      <alignment horizontal="left" vertical="center" wrapText="1"/>
    </xf>
    <xf numFmtId="0" fontId="8" fillId="0" borderId="2" xfId="3" applyFont="1" applyBorder="1" applyAlignment="1">
      <alignment vertical="center" wrapText="1"/>
    </xf>
    <xf numFmtId="0" fontId="9" fillId="0" borderId="2" xfId="3" applyFont="1" applyBorder="1" applyAlignment="1">
      <alignment vertical="center" wrapText="1"/>
    </xf>
    <xf numFmtId="0" fontId="8" fillId="9" borderId="2" xfId="3" applyFont="1" applyFill="1" applyBorder="1" applyAlignment="1">
      <alignment horizontal="center" vertical="center"/>
    </xf>
    <xf numFmtId="0" fontId="8" fillId="9" borderId="2" xfId="3" applyFont="1" applyFill="1" applyBorder="1" applyAlignment="1">
      <alignment vertical="center"/>
    </xf>
    <xf numFmtId="165" fontId="8" fillId="9" borderId="2" xfId="3" applyNumberFormat="1" applyFont="1" applyFill="1" applyBorder="1" applyAlignment="1">
      <alignment vertical="center"/>
    </xf>
    <xf numFmtId="0" fontId="9" fillId="0" borderId="2" xfId="3" applyFont="1" applyBorder="1" applyAlignment="1">
      <alignment vertical="center"/>
    </xf>
    <xf numFmtId="0" fontId="8" fillId="2" borderId="2" xfId="3" applyFont="1" applyFill="1" applyBorder="1" applyAlignment="1">
      <alignment horizontal="center" vertical="center"/>
    </xf>
    <xf numFmtId="165" fontId="8" fillId="2" borderId="2" xfId="3" applyNumberFormat="1" applyFont="1" applyFill="1" applyBorder="1" applyAlignment="1">
      <alignment vertical="center"/>
    </xf>
    <xf numFmtId="0" fontId="9" fillId="2" borderId="2" xfId="3" applyFont="1" applyFill="1" applyBorder="1" applyAlignment="1">
      <alignment horizontal="center" vertical="center"/>
    </xf>
    <xf numFmtId="165" fontId="9" fillId="2" borderId="2" xfId="3" applyNumberFormat="1" applyFont="1" applyFill="1" applyBorder="1" applyAlignment="1">
      <alignment vertical="center"/>
    </xf>
    <xf numFmtId="49" fontId="8" fillId="7" borderId="2" xfId="3" applyNumberFormat="1" applyFont="1" applyFill="1" applyBorder="1" applyAlignment="1">
      <alignment horizontal="left" vertical="center" wrapText="1"/>
    </xf>
    <xf numFmtId="49" fontId="8" fillId="10" borderId="2" xfId="3" applyNumberFormat="1" applyFont="1" applyFill="1" applyBorder="1" applyAlignment="1">
      <alignment horizontal="left" vertical="center" wrapText="1"/>
    </xf>
    <xf numFmtId="165" fontId="8" fillId="10" borderId="2" xfId="3" applyNumberFormat="1" applyFont="1" applyFill="1" applyBorder="1" applyAlignment="1">
      <alignment vertical="center"/>
    </xf>
    <xf numFmtId="49" fontId="8" fillId="9" borderId="2" xfId="3" applyNumberFormat="1" applyFont="1" applyFill="1" applyBorder="1" applyAlignment="1">
      <alignment horizontal="left" vertical="center" wrapText="1"/>
    </xf>
    <xf numFmtId="0" fontId="8" fillId="13" borderId="10" xfId="3" applyFont="1" applyFill="1" applyBorder="1" applyAlignment="1">
      <alignment horizontal="center" vertical="center"/>
    </xf>
    <xf numFmtId="165" fontId="8" fillId="13" borderId="2" xfId="3" applyNumberFormat="1" applyFont="1" applyFill="1" applyBorder="1" applyAlignment="1">
      <alignment vertical="center"/>
    </xf>
    <xf numFmtId="3" fontId="9" fillId="4" borderId="2" xfId="3" applyNumberFormat="1" applyFont="1" applyFill="1" applyBorder="1" applyAlignment="1">
      <alignment horizontal="center" vertical="center" wrapText="1"/>
    </xf>
    <xf numFmtId="0" fontId="9" fillId="4" borderId="2" xfId="3" applyFont="1" applyFill="1" applyBorder="1" applyAlignment="1">
      <alignment horizontal="center" vertical="center" wrapText="1"/>
    </xf>
    <xf numFmtId="0" fontId="18" fillId="0" borderId="0" xfId="3" applyFont="1"/>
    <xf numFmtId="0" fontId="8" fillId="0" borderId="0" xfId="3" applyFont="1" applyAlignment="1">
      <alignment horizontal="center" vertical="center"/>
    </xf>
    <xf numFmtId="0" fontId="8" fillId="0" borderId="15" xfId="3" applyFont="1" applyBorder="1" applyAlignment="1">
      <alignment horizontal="center" vertical="center"/>
    </xf>
    <xf numFmtId="0" fontId="9" fillId="0" borderId="16" xfId="3" applyFont="1" applyBorder="1"/>
    <xf numFmtId="3" fontId="9" fillId="0" borderId="16" xfId="3" applyNumberFormat="1" applyFont="1" applyBorder="1"/>
    <xf numFmtId="3" fontId="9" fillId="4" borderId="10" xfId="3" applyNumberFormat="1" applyFont="1" applyFill="1" applyBorder="1" applyAlignment="1">
      <alignment horizontal="center" vertical="center" wrapText="1"/>
    </xf>
    <xf numFmtId="165" fontId="9" fillId="0" borderId="2" xfId="3" applyNumberFormat="1" applyFont="1" applyBorder="1"/>
    <xf numFmtId="165" fontId="9" fillId="0" borderId="2" xfId="3" applyNumberFormat="1" applyFont="1" applyBorder="1" applyAlignment="1">
      <alignment horizontal="right" vertical="center"/>
    </xf>
    <xf numFmtId="0" fontId="9" fillId="0" borderId="2" xfId="3" applyFont="1" applyBorder="1"/>
    <xf numFmtId="0" fontId="8" fillId="0" borderId="2" xfId="3" applyFont="1" applyBorder="1"/>
    <xf numFmtId="165" fontId="8" fillId="0" borderId="2" xfId="3" applyNumberFormat="1" applyFont="1" applyBorder="1"/>
    <xf numFmtId="0" fontId="9" fillId="0" borderId="2" xfId="3" applyFont="1" applyBorder="1" applyAlignment="1">
      <alignment wrapText="1"/>
    </xf>
    <xf numFmtId="0" fontId="8" fillId="0" borderId="2" xfId="3" applyFont="1" applyBorder="1" applyAlignment="1">
      <alignment wrapText="1"/>
    </xf>
    <xf numFmtId="0" fontId="8" fillId="9" borderId="2" xfId="3" applyFont="1" applyFill="1" applyBorder="1"/>
    <xf numFmtId="165" fontId="8" fillId="9" borderId="2" xfId="3" applyNumberFormat="1" applyFont="1" applyFill="1" applyBorder="1"/>
    <xf numFmtId="0" fontId="19" fillId="0" borderId="0" xfId="3" applyFont="1"/>
    <xf numFmtId="165" fontId="8" fillId="10" borderId="2" xfId="3" applyNumberFormat="1" applyFont="1" applyFill="1" applyBorder="1"/>
    <xf numFmtId="165" fontId="8" fillId="13" borderId="2" xfId="3" applyNumberFormat="1" applyFont="1" applyFill="1" applyBorder="1"/>
    <xf numFmtId="0" fontId="9" fillId="0" borderId="0" xfId="3" applyFont="1"/>
    <xf numFmtId="3" fontId="9" fillId="0" borderId="0" xfId="3" applyNumberFormat="1" applyFont="1"/>
    <xf numFmtId="0" fontId="20" fillId="0" borderId="10" xfId="3" applyFont="1" applyBorder="1" applyAlignment="1">
      <alignment horizontal="center"/>
    </xf>
    <xf numFmtId="3" fontId="20" fillId="0" borderId="2" xfId="3" applyNumberFormat="1" applyFont="1" applyBorder="1" applyAlignment="1">
      <alignment horizontal="center"/>
    </xf>
    <xf numFmtId="0" fontId="20" fillId="0" borderId="2" xfId="3" applyFont="1" applyBorder="1" applyAlignment="1">
      <alignment horizontal="center"/>
    </xf>
    <xf numFmtId="0" fontId="8" fillId="10" borderId="2" xfId="3" applyFont="1" applyFill="1" applyBorder="1"/>
    <xf numFmtId="0" fontId="8" fillId="14" borderId="2" xfId="3" applyFont="1" applyFill="1" applyBorder="1"/>
    <xf numFmtId="165" fontId="8" fillId="14" borderId="2" xfId="3" applyNumberFormat="1" applyFont="1" applyFill="1" applyBorder="1"/>
    <xf numFmtId="0" fontId="18" fillId="0" borderId="2" xfId="3" applyFont="1" applyBorder="1"/>
    <xf numFmtId="0" fontId="19" fillId="0" borderId="2" xfId="3" applyFont="1" applyBorder="1"/>
    <xf numFmtId="0" fontId="8" fillId="0" borderId="13" xfId="3" applyFont="1" applyBorder="1" applyAlignment="1">
      <alignment horizontal="center" vertical="center"/>
    </xf>
    <xf numFmtId="165" fontId="9" fillId="0" borderId="0" xfId="3" applyNumberFormat="1" applyFont="1"/>
    <xf numFmtId="166" fontId="8" fillId="0" borderId="2" xfId="3" applyNumberFormat="1" applyFont="1" applyBorder="1"/>
    <xf numFmtId="2" fontId="18" fillId="0" borderId="0" xfId="3" applyNumberFormat="1" applyFont="1"/>
    <xf numFmtId="0" fontId="8" fillId="0" borderId="2" xfId="3" applyFont="1" applyBorder="1" applyAlignment="1">
      <alignment horizontal="center"/>
    </xf>
    <xf numFmtId="0" fontId="9" fillId="0" borderId="2" xfId="3" applyFont="1" applyBorder="1" applyAlignment="1">
      <alignment horizontal="center"/>
    </xf>
    <xf numFmtId="166" fontId="9" fillId="0" borderId="2" xfId="3" applyNumberFormat="1" applyFont="1" applyBorder="1"/>
    <xf numFmtId="3" fontId="9" fillId="0" borderId="2" xfId="3" applyNumberFormat="1" applyFont="1" applyBorder="1"/>
    <xf numFmtId="0" fontId="21" fillId="2" borderId="0" xfId="2" applyFont="1" applyFill="1" applyAlignment="1">
      <alignment horizontal="center" vertical="center" wrapText="1"/>
    </xf>
    <xf numFmtId="0" fontId="21" fillId="2" borderId="0" xfId="2" applyFont="1" applyFill="1" applyAlignment="1">
      <alignment vertical="center"/>
    </xf>
    <xf numFmtId="0" fontId="21" fillId="2" borderId="0" xfId="2" applyFont="1" applyFill="1" applyAlignment="1">
      <alignment horizontal="center" vertical="center"/>
    </xf>
    <xf numFmtId="165" fontId="21" fillId="2" borderId="0" xfId="2" applyNumberFormat="1" applyFont="1" applyFill="1" applyAlignment="1">
      <alignment horizontal="center" vertical="center" wrapText="1"/>
    </xf>
    <xf numFmtId="165" fontId="21" fillId="4" borderId="3" xfId="3" applyNumberFormat="1" applyFont="1" applyFill="1" applyBorder="1" applyAlignment="1">
      <alignment horizontal="center" vertical="center" wrapText="1"/>
    </xf>
    <xf numFmtId="0" fontId="21" fillId="4" borderId="3" xfId="3" applyFont="1" applyFill="1" applyBorder="1" applyAlignment="1">
      <alignment horizontal="center" vertical="center" wrapText="1"/>
    </xf>
    <xf numFmtId="0" fontId="22" fillId="4" borderId="2" xfId="3" applyFont="1" applyFill="1" applyBorder="1" applyAlignment="1">
      <alignment horizontal="center" vertical="center" wrapText="1"/>
    </xf>
    <xf numFmtId="3" fontId="21" fillId="4" borderId="7" xfId="3" applyNumberFormat="1" applyFont="1" applyFill="1" applyBorder="1" applyAlignment="1">
      <alignment horizontal="right" vertical="center"/>
    </xf>
    <xf numFmtId="165" fontId="21" fillId="4" borderId="8" xfId="3" applyNumberFormat="1" applyFont="1" applyFill="1" applyBorder="1" applyAlignment="1">
      <alignment horizontal="right" vertical="center"/>
    </xf>
    <xf numFmtId="3" fontId="23" fillId="0" borderId="0" xfId="3" applyNumberFormat="1" applyFont="1" applyAlignment="1">
      <alignment vertical="center"/>
    </xf>
    <xf numFmtId="0" fontId="18" fillId="0" borderId="0" xfId="3" applyFont="1" applyAlignment="1">
      <alignment vertical="center"/>
    </xf>
    <xf numFmtId="3" fontId="21" fillId="4" borderId="0" xfId="3" applyNumberFormat="1" applyFont="1" applyFill="1" applyAlignment="1">
      <alignment horizontal="right" vertical="center"/>
    </xf>
    <xf numFmtId="165" fontId="21" fillId="4" borderId="0" xfId="3" applyNumberFormat="1" applyFont="1" applyFill="1" applyAlignment="1">
      <alignment horizontal="right" vertical="center"/>
    </xf>
    <xf numFmtId="165" fontId="21" fillId="11" borderId="0" xfId="3" applyNumberFormat="1" applyFont="1" applyFill="1" applyAlignment="1">
      <alignment horizontal="right" vertical="center"/>
    </xf>
    <xf numFmtId="0" fontId="12" fillId="4" borderId="2" xfId="3" applyFont="1" applyFill="1" applyBorder="1" applyAlignment="1">
      <alignment horizontal="center" vertical="center" wrapText="1"/>
    </xf>
    <xf numFmtId="165" fontId="21" fillId="4" borderId="8" xfId="3" applyNumberFormat="1" applyFont="1" applyFill="1" applyBorder="1" applyAlignment="1">
      <alignment vertical="center"/>
    </xf>
    <xf numFmtId="3" fontId="21" fillId="4" borderId="2" xfId="3" applyNumberFormat="1" applyFont="1" applyFill="1" applyBorder="1" applyAlignment="1">
      <alignment horizontal="center" vertical="center" wrapText="1"/>
    </xf>
    <xf numFmtId="3" fontId="21" fillId="5" borderId="2" xfId="3" applyNumberFormat="1" applyFont="1" applyFill="1" applyBorder="1" applyAlignment="1">
      <alignment horizontal="center" vertical="center" wrapText="1"/>
    </xf>
    <xf numFmtId="3" fontId="21" fillId="4" borderId="2" xfId="3" applyNumberFormat="1" applyFont="1" applyFill="1" applyBorder="1" applyAlignment="1">
      <alignment horizontal="center" vertical="center"/>
    </xf>
    <xf numFmtId="3" fontId="21" fillId="4" borderId="0" xfId="3" applyNumberFormat="1" applyFont="1" applyFill="1" applyAlignment="1">
      <alignment horizontal="center" vertical="center"/>
    </xf>
    <xf numFmtId="0" fontId="24" fillId="3" borderId="2" xfId="3" applyFont="1" applyFill="1" applyBorder="1" applyAlignment="1">
      <alignment horizontal="center" vertical="center" wrapText="1"/>
    </xf>
    <xf numFmtId="0" fontId="25" fillId="3" borderId="2" xfId="3" applyFont="1" applyFill="1" applyBorder="1" applyAlignment="1">
      <alignment horizontal="center" vertical="center" wrapText="1"/>
    </xf>
    <xf numFmtId="0" fontId="25" fillId="0" borderId="2" xfId="3" applyFont="1" applyBorder="1" applyAlignment="1">
      <alignment horizontal="center" vertical="center"/>
    </xf>
    <xf numFmtId="3" fontId="21" fillId="6" borderId="2" xfId="3" applyNumberFormat="1" applyFont="1" applyFill="1" applyBorder="1" applyAlignment="1">
      <alignment horizontal="center" vertical="center" wrapText="1"/>
    </xf>
    <xf numFmtId="3" fontId="21" fillId="6" borderId="2" xfId="3" applyNumberFormat="1" applyFont="1" applyFill="1" applyBorder="1" applyAlignment="1">
      <alignment horizontal="right" vertical="center" wrapText="1"/>
    </xf>
    <xf numFmtId="3" fontId="21" fillId="6" borderId="2" xfId="3" applyNumberFormat="1" applyFont="1" applyFill="1" applyBorder="1" applyAlignment="1">
      <alignment horizontal="left" vertical="center"/>
    </xf>
    <xf numFmtId="165" fontId="21" fillId="6" borderId="2" xfId="3" applyNumberFormat="1" applyFont="1" applyFill="1" applyBorder="1" applyAlignment="1">
      <alignment horizontal="right" vertical="center" wrapText="1"/>
    </xf>
    <xf numFmtId="3" fontId="21" fillId="0" borderId="0" xfId="3" applyNumberFormat="1" applyFont="1" applyAlignment="1">
      <alignment vertical="center"/>
    </xf>
    <xf numFmtId="0" fontId="19" fillId="0" borderId="0" xfId="3" applyFont="1" applyAlignment="1">
      <alignment vertical="center"/>
    </xf>
    <xf numFmtId="0" fontId="18" fillId="0" borderId="2" xfId="3" applyFont="1" applyBorder="1" applyAlignment="1">
      <alignment vertical="center"/>
    </xf>
    <xf numFmtId="49" fontId="21" fillId="7" borderId="2" xfId="3" applyNumberFormat="1" applyFont="1" applyFill="1" applyBorder="1" applyAlignment="1">
      <alignment horizontal="right" vertical="center"/>
    </xf>
    <xf numFmtId="49" fontId="21" fillId="7" borderId="2" xfId="3" applyNumberFormat="1" applyFont="1" applyFill="1" applyBorder="1" applyAlignment="1">
      <alignment horizontal="center" vertical="center"/>
    </xf>
    <xf numFmtId="49" fontId="21" fillId="7" borderId="2" xfId="3" applyNumberFormat="1" applyFont="1" applyFill="1" applyBorder="1" applyAlignment="1">
      <alignment horizontal="left" vertical="center" wrapText="1"/>
    </xf>
    <xf numFmtId="165" fontId="21" fillId="7" borderId="2" xfId="3" applyNumberFormat="1" applyFont="1" applyFill="1" applyBorder="1" applyAlignment="1">
      <alignment horizontal="right" vertical="center"/>
    </xf>
    <xf numFmtId="49" fontId="21" fillId="3" borderId="2" xfId="3" applyNumberFormat="1" applyFont="1" applyFill="1" applyBorder="1" applyAlignment="1">
      <alignment horizontal="right" vertical="center"/>
    </xf>
    <xf numFmtId="49" fontId="21" fillId="3" borderId="2" xfId="3" applyNumberFormat="1" applyFont="1" applyFill="1" applyBorder="1" applyAlignment="1">
      <alignment horizontal="center" vertical="center"/>
    </xf>
    <xf numFmtId="49" fontId="21" fillId="3" borderId="2" xfId="3" applyNumberFormat="1" applyFont="1" applyFill="1" applyBorder="1" applyAlignment="1">
      <alignment horizontal="left" vertical="center" wrapText="1"/>
    </xf>
    <xf numFmtId="165" fontId="21" fillId="3" borderId="2" xfId="3" applyNumberFormat="1" applyFont="1" applyFill="1" applyBorder="1" applyAlignment="1">
      <alignment horizontal="right" vertical="center"/>
    </xf>
    <xf numFmtId="4" fontId="21" fillId="0" borderId="0" xfId="3" applyNumberFormat="1" applyFont="1" applyAlignment="1">
      <alignment vertical="center"/>
    </xf>
    <xf numFmtId="49" fontId="23" fillId="3" borderId="2" xfId="3" applyNumberFormat="1" applyFont="1" applyFill="1" applyBorder="1" applyAlignment="1">
      <alignment horizontal="right" vertical="center"/>
    </xf>
    <xf numFmtId="49" fontId="23" fillId="3" borderId="2" xfId="3" applyNumberFormat="1" applyFont="1" applyFill="1" applyBorder="1" applyAlignment="1">
      <alignment horizontal="center" vertical="center"/>
    </xf>
    <xf numFmtId="49" fontId="23" fillId="3" borderId="2" xfId="3" applyNumberFormat="1" applyFont="1" applyFill="1" applyBorder="1" applyAlignment="1">
      <alignment horizontal="left" vertical="center" wrapText="1"/>
    </xf>
    <xf numFmtId="165" fontId="23" fillId="3" borderId="2" xfId="3" applyNumberFormat="1" applyFont="1" applyFill="1" applyBorder="1" applyAlignment="1">
      <alignment horizontal="right" vertical="center"/>
    </xf>
    <xf numFmtId="0" fontId="13" fillId="0" borderId="2" xfId="3" applyFont="1" applyBorder="1" applyAlignment="1">
      <alignment vertical="center"/>
    </xf>
    <xf numFmtId="0" fontId="13" fillId="0" borderId="2" xfId="3" applyFont="1" applyBorder="1" applyAlignment="1">
      <alignment horizontal="right" vertical="center"/>
    </xf>
    <xf numFmtId="0" fontId="26" fillId="8" borderId="2" xfId="3" applyFont="1" applyFill="1" applyBorder="1" applyAlignment="1">
      <alignment horizontal="center" vertical="center"/>
    </xf>
    <xf numFmtId="49" fontId="26" fillId="8" borderId="2" xfId="3" applyNumberFormat="1" applyFont="1" applyFill="1" applyBorder="1" applyAlignment="1">
      <alignment horizontal="left" vertical="center" wrapText="1"/>
    </xf>
    <xf numFmtId="165" fontId="26" fillId="8" borderId="2" xfId="3" applyNumberFormat="1" applyFont="1" applyFill="1" applyBorder="1" applyAlignment="1">
      <alignment horizontal="right" vertical="center"/>
    </xf>
    <xf numFmtId="3" fontId="13" fillId="0" borderId="0" xfId="3" applyNumberFormat="1" applyFont="1" applyAlignment="1">
      <alignment vertical="center"/>
    </xf>
    <xf numFmtId="0" fontId="13" fillId="0" borderId="0" xfId="3" applyFont="1" applyAlignment="1">
      <alignment vertical="center"/>
    </xf>
    <xf numFmtId="0" fontId="19" fillId="0" borderId="2" xfId="3" applyFont="1" applyBorder="1" applyAlignment="1">
      <alignment vertical="center"/>
    </xf>
    <xf numFmtId="49" fontId="21" fillId="0" borderId="2" xfId="3" applyNumberFormat="1" applyFont="1" applyBorder="1" applyAlignment="1">
      <alignment horizontal="right" vertical="center"/>
    </xf>
    <xf numFmtId="49" fontId="21" fillId="0" borderId="2" xfId="3" applyNumberFormat="1" applyFont="1" applyBorder="1" applyAlignment="1">
      <alignment horizontal="center" vertical="center"/>
    </xf>
    <xf numFmtId="49" fontId="21" fillId="0" borderId="2" xfId="3" applyNumberFormat="1" applyFont="1" applyBorder="1" applyAlignment="1">
      <alignment horizontal="left" vertical="center" wrapText="1"/>
    </xf>
    <xf numFmtId="165" fontId="21" fillId="0" borderId="2" xfId="3" applyNumberFormat="1" applyFont="1" applyBorder="1" applyAlignment="1">
      <alignment horizontal="right" vertical="center"/>
    </xf>
    <xf numFmtId="49" fontId="21" fillId="4" borderId="2" xfId="3" applyNumberFormat="1" applyFont="1" applyFill="1" applyBorder="1" applyAlignment="1">
      <alignment horizontal="right" vertical="center"/>
    </xf>
    <xf numFmtId="49" fontId="21" fillId="4" borderId="2" xfId="3" applyNumberFormat="1" applyFont="1" applyFill="1" applyBorder="1" applyAlignment="1">
      <alignment horizontal="center" vertical="center"/>
    </xf>
    <xf numFmtId="49" fontId="21" fillId="4" borderId="2" xfId="3" applyNumberFormat="1" applyFont="1" applyFill="1" applyBorder="1" applyAlignment="1">
      <alignment horizontal="left" vertical="center" wrapText="1"/>
    </xf>
    <xf numFmtId="165" fontId="21" fillId="4" borderId="2" xfId="3" applyNumberFormat="1" applyFont="1" applyFill="1" applyBorder="1" applyAlignment="1">
      <alignment horizontal="right" vertical="center"/>
    </xf>
    <xf numFmtId="49" fontId="23" fillId="4" borderId="2" xfId="3" applyNumberFormat="1" applyFont="1" applyFill="1" applyBorder="1" applyAlignment="1">
      <alignment horizontal="right" vertical="center"/>
    </xf>
    <xf numFmtId="49" fontId="23" fillId="4" borderId="2" xfId="3" applyNumberFormat="1" applyFont="1" applyFill="1" applyBorder="1" applyAlignment="1">
      <alignment horizontal="left" vertical="center" wrapText="1"/>
    </xf>
    <xf numFmtId="165" fontId="23" fillId="4" borderId="2" xfId="3" applyNumberFormat="1" applyFont="1" applyFill="1" applyBorder="1" applyAlignment="1">
      <alignment horizontal="right" vertical="center"/>
    </xf>
    <xf numFmtId="165" fontId="23" fillId="0" borderId="2" xfId="3" applyNumberFormat="1" applyFont="1" applyBorder="1" applyAlignment="1">
      <alignment horizontal="right" vertical="center"/>
    </xf>
    <xf numFmtId="3" fontId="22" fillId="0" borderId="0" xfId="3" applyNumberFormat="1" applyFont="1" applyAlignment="1">
      <alignment vertical="center"/>
    </xf>
    <xf numFmtId="0" fontId="21" fillId="9" borderId="2" xfId="3" applyFont="1" applyFill="1" applyBorder="1" applyAlignment="1">
      <alignment horizontal="right" vertical="center"/>
    </xf>
    <xf numFmtId="0" fontId="21" fillId="9" borderId="2" xfId="3" applyFont="1" applyFill="1" applyBorder="1" applyAlignment="1">
      <alignment horizontal="center" vertical="center"/>
    </xf>
    <xf numFmtId="49" fontId="21" fillId="9" borderId="2" xfId="3" applyNumberFormat="1" applyFont="1" applyFill="1" applyBorder="1" applyAlignment="1">
      <alignment horizontal="left" vertical="center" wrapText="1"/>
    </xf>
    <xf numFmtId="165" fontId="21" fillId="9" borderId="2" xfId="3" applyNumberFormat="1" applyFont="1" applyFill="1" applyBorder="1" applyAlignment="1">
      <alignment horizontal="right" vertical="center"/>
    </xf>
    <xf numFmtId="0" fontId="21" fillId="0" borderId="2" xfId="3" applyFont="1" applyBorder="1" applyAlignment="1">
      <alignment horizontal="right" vertical="center"/>
    </xf>
    <xf numFmtId="0" fontId="21" fillId="0" borderId="2" xfId="3" applyFont="1" applyBorder="1" applyAlignment="1">
      <alignment horizontal="center" vertical="center"/>
    </xf>
    <xf numFmtId="0" fontId="21" fillId="7" borderId="2" xfId="3" applyFont="1" applyFill="1" applyBorder="1" applyAlignment="1">
      <alignment horizontal="right" vertical="center"/>
    </xf>
    <xf numFmtId="0" fontId="21" fillId="7" borderId="2" xfId="3" applyFont="1" applyFill="1" applyBorder="1" applyAlignment="1">
      <alignment horizontal="center" vertical="center"/>
    </xf>
    <xf numFmtId="0" fontId="21" fillId="7" borderId="2" xfId="3" applyFont="1" applyFill="1" applyBorder="1" applyAlignment="1">
      <alignment horizontal="left" vertical="center" wrapText="1"/>
    </xf>
    <xf numFmtId="0" fontId="21" fillId="4" borderId="2" xfId="3" applyFont="1" applyFill="1" applyBorder="1" applyAlignment="1">
      <alignment horizontal="right" vertical="center"/>
    </xf>
    <xf numFmtId="0" fontId="21" fillId="4" borderId="2" xfId="3" applyFont="1" applyFill="1" applyBorder="1" applyAlignment="1">
      <alignment horizontal="center" vertical="center"/>
    </xf>
    <xf numFmtId="0" fontId="21" fillId="4" borderId="2" xfId="3" applyFont="1" applyFill="1" applyBorder="1" applyAlignment="1">
      <alignment horizontal="left" vertical="center" wrapText="1"/>
    </xf>
    <xf numFmtId="0" fontId="23" fillId="4" borderId="2" xfId="3" applyFont="1" applyFill="1" applyBorder="1" applyAlignment="1">
      <alignment horizontal="right" vertical="center"/>
    </xf>
    <xf numFmtId="0" fontId="23" fillId="4" borderId="2" xfId="3" applyFont="1" applyFill="1" applyBorder="1" applyAlignment="1">
      <alignment horizontal="center" vertical="center"/>
    </xf>
    <xf numFmtId="0" fontId="23" fillId="4" borderId="2" xfId="3" applyFont="1" applyFill="1" applyBorder="1" applyAlignment="1">
      <alignment horizontal="left" vertical="center" wrapText="1"/>
    </xf>
    <xf numFmtId="49" fontId="23" fillId="4" borderId="2" xfId="3" applyNumberFormat="1" applyFont="1" applyFill="1" applyBorder="1" applyAlignment="1">
      <alignment horizontal="center" vertical="center"/>
    </xf>
    <xf numFmtId="0" fontId="22" fillId="0" borderId="2" xfId="3" applyFont="1" applyBorder="1"/>
    <xf numFmtId="0" fontId="27" fillId="0" borderId="2" xfId="3" applyFont="1" applyBorder="1"/>
    <xf numFmtId="0" fontId="24" fillId="0" borderId="2" xfId="3" applyFont="1" applyBorder="1" applyAlignment="1">
      <alignment horizontal="center" vertical="center"/>
    </xf>
    <xf numFmtId="0" fontId="23" fillId="0" borderId="2" xfId="3" applyFont="1" applyBorder="1" applyAlignment="1">
      <alignment horizontal="right" vertical="center"/>
    </xf>
    <xf numFmtId="49" fontId="23" fillId="0" borderId="2" xfId="3" applyNumberFormat="1" applyFont="1" applyBorder="1" applyAlignment="1">
      <alignment horizontal="left" vertical="center" wrapText="1"/>
    </xf>
    <xf numFmtId="165" fontId="21" fillId="7" borderId="2" xfId="3" applyNumberFormat="1" applyFont="1" applyFill="1" applyBorder="1" applyAlignment="1">
      <alignment horizontal="right" vertical="center" wrapText="1"/>
    </xf>
    <xf numFmtId="165" fontId="21" fillId="4" borderId="2" xfId="3" applyNumberFormat="1" applyFont="1" applyFill="1" applyBorder="1" applyAlignment="1">
      <alignment horizontal="right" vertical="center" wrapText="1"/>
    </xf>
    <xf numFmtId="165" fontId="23" fillId="4" borderId="2" xfId="3" applyNumberFormat="1" applyFont="1" applyFill="1" applyBorder="1" applyAlignment="1">
      <alignment horizontal="right" vertical="center" wrapText="1"/>
    </xf>
    <xf numFmtId="165" fontId="27" fillId="0" borderId="2" xfId="3" applyNumberFormat="1" applyFont="1" applyBorder="1"/>
    <xf numFmtId="3" fontId="28" fillId="0" borderId="0" xfId="3" applyNumberFormat="1" applyFont="1" applyAlignment="1">
      <alignment vertical="center"/>
    </xf>
    <xf numFmtId="0" fontId="28" fillId="0" borderId="0" xfId="3" applyFont="1" applyAlignment="1">
      <alignment vertical="center"/>
    </xf>
    <xf numFmtId="0" fontId="21" fillId="0" borderId="2" xfId="3" applyFont="1" applyBorder="1" applyAlignment="1">
      <alignment vertical="center"/>
    </xf>
    <xf numFmtId="0" fontId="23" fillId="0" borderId="0" xfId="3" applyFont="1" applyAlignment="1">
      <alignment vertical="center"/>
    </xf>
    <xf numFmtId="0" fontId="21" fillId="3" borderId="2" xfId="3" applyFont="1" applyFill="1" applyBorder="1" applyAlignment="1">
      <alignment horizontal="center" vertical="center"/>
    </xf>
    <xf numFmtId="0" fontId="23" fillId="3" borderId="2" xfId="3" applyFont="1" applyFill="1" applyBorder="1" applyAlignment="1">
      <alignment horizontal="center" vertical="center"/>
    </xf>
    <xf numFmtId="0" fontId="18" fillId="2" borderId="2" xfId="3" applyFont="1" applyFill="1" applyBorder="1" applyAlignment="1">
      <alignment vertical="center"/>
    </xf>
    <xf numFmtId="0" fontId="19" fillId="0" borderId="2" xfId="3" applyFont="1" applyBorder="1" applyAlignment="1">
      <alignment horizontal="right" vertical="center"/>
    </xf>
    <xf numFmtId="0" fontId="27" fillId="0" borderId="2" xfId="3" applyFont="1" applyBorder="1" applyAlignment="1">
      <alignment vertical="center"/>
    </xf>
    <xf numFmtId="0" fontId="26" fillId="8" borderId="4" xfId="3" applyFont="1" applyFill="1" applyBorder="1" applyAlignment="1">
      <alignment horizontal="center" vertical="center"/>
    </xf>
    <xf numFmtId="49" fontId="26" fillId="8" borderId="4" xfId="3" applyNumberFormat="1" applyFont="1" applyFill="1" applyBorder="1" applyAlignment="1">
      <alignment horizontal="left" vertical="center" wrapText="1"/>
    </xf>
    <xf numFmtId="0" fontId="19" fillId="10" borderId="2" xfId="3" applyFont="1" applyFill="1" applyBorder="1" applyAlignment="1">
      <alignment vertical="center"/>
    </xf>
    <xf numFmtId="0" fontId="21" fillId="10" borderId="2" xfId="3" applyFont="1" applyFill="1" applyBorder="1" applyAlignment="1">
      <alignment horizontal="center" vertical="center"/>
    </xf>
    <xf numFmtId="49" fontId="21" fillId="10" borderId="2" xfId="3" applyNumberFormat="1" applyFont="1" applyFill="1" applyBorder="1" applyAlignment="1">
      <alignment horizontal="left" vertical="center" wrapText="1"/>
    </xf>
    <xf numFmtId="165" fontId="21" fillId="10" borderId="2" xfId="3" applyNumberFormat="1" applyFont="1" applyFill="1" applyBorder="1" applyAlignment="1">
      <alignment horizontal="right" vertical="center"/>
    </xf>
    <xf numFmtId="0" fontId="21" fillId="9" borderId="2" xfId="3" applyFont="1" applyFill="1" applyBorder="1" applyAlignment="1">
      <alignment vertical="center"/>
    </xf>
    <xf numFmtId="0" fontId="19" fillId="0" borderId="4" xfId="3" applyFont="1" applyBorder="1" applyAlignment="1">
      <alignment vertical="center"/>
    </xf>
    <xf numFmtId="0" fontId="21" fillId="0" borderId="4" xfId="3" applyFont="1" applyBorder="1" applyAlignment="1">
      <alignment vertical="center"/>
    </xf>
    <xf numFmtId="0" fontId="21" fillId="0" borderId="4" xfId="3" applyFont="1" applyBorder="1" applyAlignment="1">
      <alignment horizontal="center" vertical="center"/>
    </xf>
    <xf numFmtId="49" fontId="21" fillId="0" borderId="4" xfId="3" applyNumberFormat="1" applyFont="1" applyBorder="1" applyAlignment="1">
      <alignment horizontal="left" vertical="center" wrapText="1"/>
    </xf>
    <xf numFmtId="165" fontId="26" fillId="8" borderId="4" xfId="3" applyNumberFormat="1" applyFont="1" applyFill="1" applyBorder="1" applyAlignment="1">
      <alignment horizontal="right" vertical="center"/>
    </xf>
    <xf numFmtId="165" fontId="21" fillId="12" borderId="2" xfId="3" applyNumberFormat="1" applyFont="1" applyFill="1" applyBorder="1" applyAlignment="1">
      <alignment horizontal="right" vertical="center"/>
    </xf>
    <xf numFmtId="3" fontId="24" fillId="4" borderId="0" xfId="3" applyNumberFormat="1" applyFont="1" applyFill="1" applyAlignment="1">
      <alignment horizontal="center" vertical="center"/>
    </xf>
    <xf numFmtId="165" fontId="24" fillId="4" borderId="0" xfId="3" applyNumberFormat="1" applyFont="1" applyFill="1" applyAlignment="1">
      <alignment horizontal="right" vertical="center"/>
    </xf>
    <xf numFmtId="3" fontId="24" fillId="4" borderId="0" xfId="3" applyNumberFormat="1" applyFont="1" applyFill="1" applyAlignment="1">
      <alignment horizontal="right" vertical="center"/>
    </xf>
    <xf numFmtId="4" fontId="24" fillId="4" borderId="0" xfId="3" applyNumberFormat="1" applyFont="1" applyFill="1" applyAlignment="1">
      <alignment horizontal="right" vertical="center"/>
    </xf>
    <xf numFmtId="0" fontId="18" fillId="2" borderId="0" xfId="3" applyFont="1" applyFill="1" applyAlignment="1">
      <alignment vertical="center"/>
    </xf>
    <xf numFmtId="165" fontId="24" fillId="4" borderId="0" xfId="3" applyNumberFormat="1" applyFont="1" applyFill="1" applyAlignment="1">
      <alignment horizontal="center" vertical="center"/>
    </xf>
    <xf numFmtId="0" fontId="24" fillId="3" borderId="2" xfId="1" applyNumberFormat="1" applyFont="1" applyFill="1" applyBorder="1" applyAlignment="1">
      <alignment horizontal="center" vertical="center" wrapText="1"/>
    </xf>
    <xf numFmtId="49" fontId="21" fillId="6" borderId="9" xfId="3" applyNumberFormat="1" applyFont="1" applyFill="1" applyBorder="1" applyAlignment="1">
      <alignment horizontal="center" vertical="center"/>
    </xf>
    <xf numFmtId="0" fontId="21" fillId="10" borderId="9" xfId="3" applyFont="1" applyFill="1" applyBorder="1" applyAlignment="1">
      <alignment vertical="center"/>
    </xf>
    <xf numFmtId="49" fontId="21" fillId="6" borderId="9" xfId="3" applyNumberFormat="1" applyFont="1" applyFill="1" applyBorder="1" applyAlignment="1">
      <alignment vertical="center"/>
    </xf>
    <xf numFmtId="165" fontId="21" fillId="6" borderId="9" xfId="3" applyNumberFormat="1" applyFont="1" applyFill="1" applyBorder="1" applyAlignment="1">
      <alignment horizontal="right" vertical="center" wrapText="1"/>
    </xf>
    <xf numFmtId="49" fontId="21" fillId="7" borderId="2" xfId="3" applyNumberFormat="1" applyFont="1" applyFill="1" applyBorder="1" applyAlignment="1">
      <alignment vertical="center"/>
    </xf>
    <xf numFmtId="0" fontId="23" fillId="0" borderId="2" xfId="3" applyFont="1" applyBorder="1" applyAlignment="1">
      <alignment vertical="center"/>
    </xf>
    <xf numFmtId="49" fontId="23" fillId="0" borderId="2" xfId="3" applyNumberFormat="1" applyFont="1" applyBorder="1" applyAlignment="1">
      <alignment horizontal="right" vertical="center"/>
    </xf>
    <xf numFmtId="3" fontId="25" fillId="0" borderId="0" xfId="3" applyNumberFormat="1" applyFont="1" applyAlignment="1">
      <alignment vertical="center"/>
    </xf>
    <xf numFmtId="0" fontId="29" fillId="0" borderId="0" xfId="3" applyFont="1" applyAlignment="1">
      <alignment vertical="center"/>
    </xf>
    <xf numFmtId="3" fontId="24" fillId="0" borderId="0" xfId="3" applyNumberFormat="1" applyFont="1" applyAlignment="1">
      <alignment vertical="center"/>
    </xf>
    <xf numFmtId="0" fontId="30" fillId="0" borderId="0" xfId="3" applyFont="1" applyAlignment="1">
      <alignment vertical="center"/>
    </xf>
    <xf numFmtId="165" fontId="21" fillId="4" borderId="2" xfId="3" applyNumberFormat="1" applyFont="1" applyFill="1" applyBorder="1" applyAlignment="1">
      <alignment vertical="center"/>
    </xf>
    <xf numFmtId="165" fontId="23" fillId="4" borderId="2" xfId="3" applyNumberFormat="1" applyFont="1" applyFill="1" applyBorder="1" applyAlignment="1">
      <alignment vertical="center"/>
    </xf>
    <xf numFmtId="3" fontId="26" fillId="0" borderId="0" xfId="3" applyNumberFormat="1" applyFont="1" applyAlignment="1">
      <alignment vertical="center"/>
    </xf>
    <xf numFmtId="0" fontId="26" fillId="0" borderId="0" xfId="3" applyFont="1" applyAlignment="1">
      <alignment vertical="center"/>
    </xf>
    <xf numFmtId="0" fontId="23" fillId="0" borderId="2" xfId="3" applyFont="1" applyBorder="1" applyAlignment="1">
      <alignment vertical="center" wrapText="1"/>
    </xf>
    <xf numFmtId="3" fontId="23" fillId="0" borderId="0" xfId="3" applyNumberFormat="1" applyFont="1" applyAlignment="1">
      <alignment horizontal="right" vertical="center"/>
    </xf>
    <xf numFmtId="0" fontId="21" fillId="0" borderId="2" xfId="3" applyFont="1" applyBorder="1" applyAlignment="1">
      <alignment vertical="center" wrapText="1"/>
    </xf>
    <xf numFmtId="49" fontId="23" fillId="4" borderId="2" xfId="3" applyNumberFormat="1" applyFont="1" applyFill="1" applyBorder="1" applyAlignment="1">
      <alignment horizontal="left" vertical="center"/>
    </xf>
    <xf numFmtId="49" fontId="21" fillId="4" borderId="2" xfId="3" applyNumberFormat="1" applyFont="1" applyFill="1" applyBorder="1" applyAlignment="1">
      <alignment horizontal="left" vertical="center"/>
    </xf>
    <xf numFmtId="49" fontId="23" fillId="0" borderId="2" xfId="3" applyNumberFormat="1" applyFont="1" applyBorder="1" applyAlignment="1">
      <alignment horizontal="left" vertical="center"/>
    </xf>
    <xf numFmtId="0" fontId="19" fillId="9" borderId="2" xfId="3" applyFont="1" applyFill="1" applyBorder="1" applyAlignment="1">
      <alignment vertical="center"/>
    </xf>
    <xf numFmtId="49" fontId="21" fillId="9" borderId="2" xfId="3" applyNumberFormat="1" applyFont="1" applyFill="1" applyBorder="1" applyAlignment="1">
      <alignment horizontal="left" vertical="center"/>
    </xf>
    <xf numFmtId="49" fontId="21" fillId="0" borderId="2" xfId="3" applyNumberFormat="1" applyFont="1" applyBorder="1" applyAlignment="1">
      <alignment horizontal="left" vertical="center"/>
    </xf>
    <xf numFmtId="0" fontId="15" fillId="9" borderId="2" xfId="3" applyFont="1" applyFill="1" applyBorder="1"/>
    <xf numFmtId="0" fontId="15" fillId="0" borderId="2" xfId="3" applyFont="1" applyBorder="1"/>
    <xf numFmtId="0" fontId="16" fillId="0" borderId="2" xfId="3" applyFont="1" applyBorder="1"/>
    <xf numFmtId="49" fontId="21" fillId="0" borderId="2" xfId="3" applyNumberFormat="1" applyFont="1" applyBorder="1" applyAlignment="1">
      <alignment vertical="center"/>
    </xf>
    <xf numFmtId="49" fontId="23" fillId="0" borderId="2" xfId="3" applyNumberFormat="1" applyFont="1" applyBorder="1" applyAlignment="1">
      <alignment vertical="center"/>
    </xf>
    <xf numFmtId="49" fontId="21" fillId="6" borderId="2" xfId="3" applyNumberFormat="1" applyFont="1" applyFill="1" applyBorder="1" applyAlignment="1">
      <alignment horizontal="center" vertical="center"/>
    </xf>
    <xf numFmtId="0" fontId="21" fillId="6" borderId="2" xfId="3" applyFont="1" applyFill="1" applyBorder="1" applyAlignment="1">
      <alignment horizontal="right" vertical="center"/>
    </xf>
    <xf numFmtId="49" fontId="21" fillId="6" borderId="2" xfId="3" applyNumberFormat="1" applyFont="1" applyFill="1" applyBorder="1" applyAlignment="1">
      <alignment horizontal="right" vertical="center"/>
    </xf>
    <xf numFmtId="49" fontId="21" fillId="6" borderId="2" xfId="3" applyNumberFormat="1" applyFont="1" applyFill="1" applyBorder="1" applyAlignment="1">
      <alignment vertical="center"/>
    </xf>
    <xf numFmtId="49" fontId="21" fillId="7" borderId="2" xfId="3" applyNumberFormat="1" applyFont="1" applyFill="1" applyBorder="1" applyAlignment="1">
      <alignment vertical="center" wrapText="1"/>
    </xf>
    <xf numFmtId="49" fontId="21" fillId="0" borderId="2" xfId="3" applyNumberFormat="1" applyFont="1" applyBorder="1" applyAlignment="1">
      <alignment vertical="center" wrapText="1"/>
    </xf>
    <xf numFmtId="49" fontId="23" fillId="0" borderId="2" xfId="3" applyNumberFormat="1" applyFont="1" applyBorder="1" applyAlignment="1">
      <alignment vertical="center" wrapText="1"/>
    </xf>
    <xf numFmtId="49" fontId="21" fillId="4" borderId="2" xfId="3" applyNumberFormat="1" applyFont="1" applyFill="1" applyBorder="1" applyAlignment="1">
      <alignment vertical="center"/>
    </xf>
    <xf numFmtId="49" fontId="23" fillId="4" borderId="2" xfId="3" applyNumberFormat="1" applyFont="1" applyFill="1" applyBorder="1" applyAlignment="1">
      <alignment vertical="center"/>
    </xf>
    <xf numFmtId="0" fontId="26" fillId="0" borderId="2" xfId="3" applyFont="1" applyBorder="1" applyAlignment="1">
      <alignment vertical="center"/>
    </xf>
    <xf numFmtId="0" fontId="26" fillId="4" borderId="2" xfId="3" applyFont="1" applyFill="1" applyBorder="1" applyAlignment="1">
      <alignment horizontal="center" vertical="center"/>
    </xf>
    <xf numFmtId="165" fontId="26" fillId="5" borderId="2" xfId="3" applyNumberFormat="1" applyFont="1" applyFill="1" applyBorder="1" applyAlignment="1">
      <alignment horizontal="right" vertical="center" wrapText="1"/>
    </xf>
    <xf numFmtId="3" fontId="26" fillId="2" borderId="0" xfId="3" applyNumberFormat="1" applyFont="1" applyFill="1" applyAlignment="1">
      <alignment vertical="center"/>
    </xf>
    <xf numFmtId="0" fontId="26" fillId="2" borderId="0" xfId="3" applyFont="1" applyFill="1" applyAlignment="1">
      <alignment vertical="center"/>
    </xf>
    <xf numFmtId="3" fontId="31" fillId="2" borderId="0" xfId="3" applyNumberFormat="1" applyFont="1" applyFill="1" applyAlignment="1">
      <alignment vertical="center"/>
    </xf>
    <xf numFmtId="0" fontId="31" fillId="2" borderId="0" xfId="3" applyFont="1" applyFill="1" applyAlignment="1">
      <alignment vertical="center"/>
    </xf>
    <xf numFmtId="3" fontId="21" fillId="2" borderId="0" xfId="3" applyNumberFormat="1" applyFont="1" applyFill="1" applyAlignment="1">
      <alignment vertical="center"/>
    </xf>
    <xf numFmtId="0" fontId="19" fillId="2" borderId="0" xfId="3" applyFont="1" applyFill="1" applyAlignment="1">
      <alignment vertical="center"/>
    </xf>
    <xf numFmtId="3" fontId="23" fillId="2" borderId="0" xfId="3" applyNumberFormat="1" applyFont="1" applyFill="1" applyAlignment="1">
      <alignment vertical="center"/>
    </xf>
    <xf numFmtId="0" fontId="12" fillId="9" borderId="2" xfId="3" applyFont="1" applyFill="1" applyBorder="1" applyAlignment="1">
      <alignment horizontal="right" vertical="center"/>
    </xf>
    <xf numFmtId="0" fontId="12" fillId="9" borderId="2" xfId="3" applyFont="1" applyFill="1" applyBorder="1" applyAlignment="1">
      <alignment vertical="center"/>
    </xf>
    <xf numFmtId="0" fontId="12" fillId="9" borderId="2" xfId="3" applyFont="1" applyFill="1" applyBorder="1"/>
    <xf numFmtId="0" fontId="12" fillId="0" borderId="2" xfId="3" applyFont="1" applyBorder="1" applyAlignment="1">
      <alignment horizontal="right" vertical="center"/>
    </xf>
    <xf numFmtId="0" fontId="12" fillId="0" borderId="2" xfId="3" applyFont="1" applyBorder="1" applyAlignment="1">
      <alignment vertical="center"/>
    </xf>
    <xf numFmtId="0" fontId="12" fillId="0" borderId="2" xfId="3" applyFont="1" applyBorder="1"/>
    <xf numFmtId="0" fontId="14" fillId="0" borderId="2" xfId="3" applyFont="1" applyBorder="1" applyAlignment="1">
      <alignment horizontal="right" vertical="center"/>
    </xf>
    <xf numFmtId="0" fontId="14" fillId="0" borderId="2" xfId="3" applyFont="1" applyBorder="1" applyAlignment="1">
      <alignment vertical="center"/>
    </xf>
    <xf numFmtId="0" fontId="14" fillId="0" borderId="2" xfId="3" applyFont="1" applyBorder="1"/>
    <xf numFmtId="49" fontId="26" fillId="5" borderId="2" xfId="3" applyNumberFormat="1" applyFont="1" applyFill="1" applyBorder="1" applyAlignment="1">
      <alignment horizontal="right" vertical="center"/>
    </xf>
    <xf numFmtId="49" fontId="26" fillId="5" borderId="2" xfId="3" applyNumberFormat="1" applyFont="1" applyFill="1" applyBorder="1" applyAlignment="1">
      <alignment vertical="center"/>
    </xf>
    <xf numFmtId="165" fontId="26" fillId="8" borderId="2" xfId="3" applyNumberFormat="1" applyFont="1" applyFill="1" applyBorder="1" applyAlignment="1">
      <alignment horizontal="right" vertical="center" wrapText="1"/>
    </xf>
    <xf numFmtId="165" fontId="32" fillId="6" borderId="2" xfId="3" applyNumberFormat="1" applyFont="1" applyFill="1" applyBorder="1" applyAlignment="1">
      <alignment horizontal="right" vertical="center" wrapText="1"/>
    </xf>
    <xf numFmtId="165" fontId="22" fillId="6" borderId="2" xfId="3" applyNumberFormat="1" applyFont="1" applyFill="1" applyBorder="1" applyAlignment="1">
      <alignment horizontal="right" vertical="center" wrapText="1"/>
    </xf>
    <xf numFmtId="165" fontId="23" fillId="0" borderId="2" xfId="3" applyNumberFormat="1" applyFont="1" applyBorder="1" applyAlignment="1">
      <alignment vertical="center"/>
    </xf>
    <xf numFmtId="165" fontId="21" fillId="0" borderId="2" xfId="3" applyNumberFormat="1" applyFont="1" applyBorder="1" applyAlignment="1">
      <alignment vertical="center"/>
    </xf>
    <xf numFmtId="165" fontId="21" fillId="7" borderId="2" xfId="3" applyNumberFormat="1" applyFont="1" applyFill="1" applyBorder="1" applyAlignment="1">
      <alignment vertical="center"/>
    </xf>
    <xf numFmtId="49" fontId="21" fillId="10" borderId="2" xfId="3" applyNumberFormat="1" applyFont="1" applyFill="1" applyBorder="1" applyAlignment="1">
      <alignment horizontal="right" vertical="center"/>
    </xf>
    <xf numFmtId="0" fontId="21" fillId="10" borderId="2" xfId="3" applyFont="1" applyFill="1" applyBorder="1" applyAlignment="1">
      <alignment vertical="center"/>
    </xf>
    <xf numFmtId="165" fontId="21" fillId="6" borderId="2" xfId="3" applyNumberFormat="1" applyFont="1" applyFill="1" applyBorder="1" applyAlignment="1">
      <alignment vertical="center"/>
    </xf>
    <xf numFmtId="165" fontId="21" fillId="10" borderId="2" xfId="3" applyNumberFormat="1" applyFont="1" applyFill="1" applyBorder="1" applyAlignment="1">
      <alignment vertical="center"/>
    </xf>
    <xf numFmtId="165" fontId="21" fillId="6" borderId="2" xfId="3" applyNumberFormat="1" applyFont="1" applyFill="1" applyBorder="1" applyAlignment="1">
      <alignment horizontal="right" vertical="center"/>
    </xf>
    <xf numFmtId="0" fontId="22" fillId="10" borderId="2" xfId="3" applyFont="1" applyFill="1" applyBorder="1" applyAlignment="1">
      <alignment horizontal="center" vertical="center"/>
    </xf>
    <xf numFmtId="49" fontId="23" fillId="10" borderId="2" xfId="3" applyNumberFormat="1" applyFont="1" applyFill="1" applyBorder="1" applyAlignment="1">
      <alignment horizontal="right" vertical="center"/>
    </xf>
    <xf numFmtId="0" fontId="23" fillId="10" borderId="2" xfId="3" applyFont="1" applyFill="1" applyBorder="1" applyAlignment="1">
      <alignment vertical="center"/>
    </xf>
    <xf numFmtId="0" fontId="22" fillId="0" borderId="2" xfId="3" applyFont="1" applyBorder="1" applyAlignment="1">
      <alignment horizontal="center" vertical="center"/>
    </xf>
    <xf numFmtId="0" fontId="22" fillId="2" borderId="2" xfId="3" applyFont="1" applyFill="1" applyBorder="1" applyAlignment="1">
      <alignment horizontal="center" vertical="center"/>
    </xf>
    <xf numFmtId="0" fontId="27" fillId="2" borderId="2" xfId="3" applyFont="1" applyFill="1" applyBorder="1" applyAlignment="1">
      <alignment horizontal="center" vertical="center"/>
    </xf>
    <xf numFmtId="0" fontId="32" fillId="2" borderId="2" xfId="3" applyFont="1" applyFill="1" applyBorder="1" applyAlignment="1">
      <alignment horizontal="center" vertical="center"/>
    </xf>
    <xf numFmtId="49" fontId="26" fillId="3" borderId="2" xfId="3" applyNumberFormat="1" applyFont="1" applyFill="1" applyBorder="1" applyAlignment="1">
      <alignment horizontal="right" vertical="center"/>
    </xf>
    <xf numFmtId="49" fontId="21" fillId="0" borderId="9" xfId="3" applyNumberFormat="1" applyFont="1" applyBorder="1" applyAlignment="1">
      <alignment horizontal="center" vertical="center"/>
    </xf>
    <xf numFmtId="49" fontId="21" fillId="0" borderId="9" xfId="3" applyNumberFormat="1" applyFont="1" applyBorder="1" applyAlignment="1">
      <alignment horizontal="right" vertical="center"/>
    </xf>
    <xf numFmtId="0" fontId="21" fillId="0" borderId="9" xfId="3" applyFont="1" applyBorder="1" applyAlignment="1">
      <alignment vertical="center"/>
    </xf>
    <xf numFmtId="49" fontId="21" fillId="0" borderId="9" xfId="3" applyNumberFormat="1" applyFont="1" applyBorder="1" applyAlignment="1">
      <alignment vertical="center"/>
    </xf>
    <xf numFmtId="49" fontId="23" fillId="0" borderId="9" xfId="3" applyNumberFormat="1" applyFont="1" applyBorder="1" applyAlignment="1">
      <alignment horizontal="center" vertical="center"/>
    </xf>
    <xf numFmtId="49" fontId="23" fillId="0" borderId="9" xfId="3" applyNumberFormat="1" applyFont="1" applyBorder="1" applyAlignment="1">
      <alignment horizontal="right" vertical="center"/>
    </xf>
    <xf numFmtId="0" fontId="23" fillId="0" borderId="9" xfId="3" applyFont="1" applyBorder="1" applyAlignment="1">
      <alignment vertical="center"/>
    </xf>
    <xf numFmtId="49" fontId="23" fillId="0" borderId="9" xfId="3" applyNumberFormat="1" applyFont="1" applyBorder="1" applyAlignment="1">
      <alignment vertical="center"/>
    </xf>
    <xf numFmtId="0" fontId="9" fillId="0" borderId="10" xfId="3" applyFont="1" applyBorder="1" applyAlignment="1">
      <alignment vertical="center"/>
    </xf>
    <xf numFmtId="49" fontId="8" fillId="3" borderId="2" xfId="3" applyNumberFormat="1" applyFont="1" applyFill="1" applyBorder="1" applyAlignment="1">
      <alignment horizontal="right" vertical="center"/>
    </xf>
    <xf numFmtId="49" fontId="33" fillId="0" borderId="2" xfId="3" applyNumberFormat="1" applyFont="1" applyBorder="1" applyAlignment="1">
      <alignment horizontal="right" vertical="center"/>
    </xf>
    <xf numFmtId="49" fontId="8" fillId="0" borderId="2" xfId="3" applyNumberFormat="1" applyFont="1" applyBorder="1" applyAlignment="1">
      <alignment vertical="center"/>
    </xf>
    <xf numFmtId="49" fontId="9" fillId="3" borderId="2" xfId="3" applyNumberFormat="1" applyFont="1" applyFill="1" applyBorder="1" applyAlignment="1">
      <alignment horizontal="right" vertical="center"/>
    </xf>
    <xf numFmtId="49" fontId="26" fillId="0" borderId="2" xfId="3" applyNumberFormat="1" applyFont="1" applyBorder="1" applyAlignment="1">
      <alignment horizontal="right" vertical="center"/>
    </xf>
    <xf numFmtId="49" fontId="9" fillId="0" borderId="2" xfId="3" applyNumberFormat="1" applyFont="1" applyBorder="1" applyAlignment="1">
      <alignment vertical="center"/>
    </xf>
    <xf numFmtId="49" fontId="13" fillId="6" borderId="2" xfId="3" applyNumberFormat="1" applyFont="1" applyFill="1" applyBorder="1" applyAlignment="1">
      <alignment horizontal="right" vertical="center"/>
    </xf>
    <xf numFmtId="165" fontId="22" fillId="6" borderId="2" xfId="3" applyNumberFormat="1" applyFont="1" applyFill="1" applyBorder="1" applyAlignment="1">
      <alignment horizontal="right" vertical="center"/>
    </xf>
    <xf numFmtId="0" fontId="21" fillId="2" borderId="2" xfId="3" applyFont="1" applyFill="1" applyBorder="1" applyAlignment="1">
      <alignment vertical="center"/>
    </xf>
    <xf numFmtId="0" fontId="23" fillId="2" borderId="2" xfId="3" applyFont="1" applyFill="1" applyBorder="1" applyAlignment="1">
      <alignment vertical="center"/>
    </xf>
    <xf numFmtId="0" fontId="23" fillId="2" borderId="4" xfId="3" applyFont="1" applyFill="1" applyBorder="1" applyAlignment="1">
      <alignment vertical="center"/>
    </xf>
    <xf numFmtId="49" fontId="21" fillId="0" borderId="4" xfId="3" applyNumberFormat="1" applyFont="1" applyBorder="1" applyAlignment="1">
      <alignment horizontal="right" vertical="center"/>
    </xf>
    <xf numFmtId="165" fontId="21" fillId="4" borderId="4" xfId="3" applyNumberFormat="1" applyFont="1" applyFill="1" applyBorder="1" applyAlignment="1">
      <alignment horizontal="right" vertical="center"/>
    </xf>
    <xf numFmtId="49" fontId="23" fillId="0" borderId="4" xfId="3" applyNumberFormat="1" applyFont="1" applyBorder="1" applyAlignment="1">
      <alignment horizontal="right" vertical="center"/>
    </xf>
    <xf numFmtId="0" fontId="23" fillId="0" borderId="4" xfId="3" applyFont="1" applyBorder="1" applyAlignment="1">
      <alignment vertical="center"/>
    </xf>
    <xf numFmtId="165" fontId="23" fillId="4" borderId="4" xfId="3" applyNumberFormat="1" applyFont="1" applyFill="1" applyBorder="1" applyAlignment="1">
      <alignment horizontal="right" vertical="center"/>
    </xf>
    <xf numFmtId="0" fontId="26" fillId="2" borderId="4" xfId="3" applyFont="1" applyFill="1" applyBorder="1" applyAlignment="1">
      <alignment vertical="center"/>
    </xf>
    <xf numFmtId="49" fontId="26" fillId="3" borderId="4" xfId="3" applyNumberFormat="1" applyFont="1" applyFill="1" applyBorder="1" applyAlignment="1">
      <alignment horizontal="right" vertical="center"/>
    </xf>
    <xf numFmtId="49" fontId="26" fillId="5" borderId="4" xfId="3" applyNumberFormat="1" applyFont="1" applyFill="1" applyBorder="1" applyAlignment="1">
      <alignment horizontal="right" vertical="center"/>
    </xf>
    <xf numFmtId="49" fontId="26" fillId="5" borderId="4" xfId="3" applyNumberFormat="1" applyFont="1" applyFill="1" applyBorder="1" applyAlignment="1">
      <alignment vertical="center" wrapText="1"/>
    </xf>
    <xf numFmtId="165" fontId="26" fillId="5" borderId="4" xfId="3" applyNumberFormat="1" applyFont="1" applyFill="1" applyBorder="1" applyAlignment="1">
      <alignment horizontal="right" vertical="center"/>
    </xf>
    <xf numFmtId="165" fontId="23" fillId="0" borderId="0" xfId="3" applyNumberFormat="1" applyFont="1" applyAlignment="1">
      <alignment horizontal="center" vertical="center"/>
    </xf>
    <xf numFmtId="3" fontId="21" fillId="12" borderId="0" xfId="3" applyNumberFormat="1" applyFont="1" applyFill="1" applyAlignment="1">
      <alignment horizontal="right" vertical="center"/>
    </xf>
    <xf numFmtId="4" fontId="21" fillId="12" borderId="0" xfId="3" applyNumberFormat="1" applyFont="1" applyFill="1" applyAlignment="1">
      <alignment vertical="center"/>
    </xf>
    <xf numFmtId="3" fontId="23" fillId="0" borderId="0" xfId="3" applyNumberFormat="1" applyFont="1" applyAlignment="1">
      <alignment horizontal="center" vertical="center"/>
    </xf>
    <xf numFmtId="4" fontId="24" fillId="0" borderId="0" xfId="3" applyNumberFormat="1" applyFont="1" applyAlignment="1">
      <alignment horizontal="right" vertical="center"/>
    </xf>
    <xf numFmtId="165" fontId="21" fillId="0" borderId="0" xfId="3" applyNumberFormat="1" applyFont="1" applyAlignment="1">
      <alignment vertical="center"/>
    </xf>
    <xf numFmtId="4" fontId="28" fillId="0" borderId="0" xfId="3" applyNumberFormat="1" applyFont="1" applyAlignment="1">
      <alignment vertical="center"/>
    </xf>
    <xf numFmtId="165" fontId="21" fillId="4" borderId="29" xfId="3" applyNumberFormat="1" applyFont="1" applyFill="1" applyBorder="1" applyAlignment="1">
      <alignment horizontal="center" vertical="center" wrapText="1"/>
    </xf>
    <xf numFmtId="0" fontId="8" fillId="2" borderId="2" xfId="3" applyFont="1" applyFill="1" applyBorder="1" applyAlignment="1">
      <alignment vertical="center" wrapText="1"/>
    </xf>
    <xf numFmtId="0" fontId="9" fillId="2" borderId="2" xfId="3" applyFont="1" applyFill="1" applyBorder="1" applyAlignment="1">
      <alignment vertical="center" wrapText="1"/>
    </xf>
    <xf numFmtId="3" fontId="16" fillId="0" borderId="0" xfId="3" applyNumberFormat="1" applyFont="1" applyAlignment="1">
      <alignment vertical="center"/>
    </xf>
    <xf numFmtId="3" fontId="14" fillId="0" borderId="0" xfId="3" applyNumberFormat="1" applyFont="1" applyAlignment="1">
      <alignment vertical="center"/>
    </xf>
    <xf numFmtId="0" fontId="24" fillId="3" borderId="2" xfId="4" applyNumberFormat="1" applyFont="1" applyFill="1" applyBorder="1" applyAlignment="1">
      <alignment horizontal="center" vertical="center" wrapText="1"/>
    </xf>
    <xf numFmtId="0" fontId="24" fillId="6" borderId="9" xfId="3" applyFont="1" applyFill="1" applyBorder="1" applyAlignment="1">
      <alignment horizontal="center" vertical="center" wrapText="1"/>
    </xf>
    <xf numFmtId="165" fontId="21" fillId="6" borderId="9" xfId="4" applyNumberFormat="1" applyFont="1" applyFill="1" applyBorder="1" applyAlignment="1">
      <alignment horizontal="center" vertical="center" wrapText="1"/>
    </xf>
    <xf numFmtId="4" fontId="23" fillId="0" borderId="0" xfId="3" applyNumberFormat="1" applyFont="1" applyAlignment="1">
      <alignment vertical="center"/>
    </xf>
    <xf numFmtId="49" fontId="21" fillId="6" borderId="2" xfId="3" applyNumberFormat="1" applyFont="1" applyFill="1" applyBorder="1" applyAlignment="1">
      <alignment horizontal="left" vertical="center"/>
    </xf>
    <xf numFmtId="0" fontId="24" fillId="3" borderId="9" xfId="3" applyFont="1" applyFill="1" applyBorder="1" applyAlignment="1">
      <alignment horizontal="center" vertical="center" wrapText="1"/>
    </xf>
    <xf numFmtId="0" fontId="21" fillId="3" borderId="9" xfId="3" applyFont="1" applyFill="1" applyBorder="1" applyAlignment="1">
      <alignment horizontal="left" vertical="center" wrapText="1"/>
    </xf>
    <xf numFmtId="0" fontId="24" fillId="3" borderId="9" xfId="4" applyNumberFormat="1" applyFont="1" applyFill="1" applyBorder="1" applyAlignment="1">
      <alignment horizontal="center" vertical="center" wrapText="1"/>
    </xf>
    <xf numFmtId="0" fontId="23" fillId="0" borderId="2" xfId="5" applyFont="1" applyBorder="1" applyAlignment="1">
      <alignment vertical="center"/>
    </xf>
    <xf numFmtId="0" fontId="23" fillId="0" borderId="2" xfId="5" applyFont="1" applyBorder="1" applyAlignment="1">
      <alignment vertical="center" wrapText="1"/>
    </xf>
    <xf numFmtId="0" fontId="21" fillId="0" borderId="2" xfId="5" applyFont="1" applyBorder="1" applyAlignment="1">
      <alignment vertical="center" wrapText="1"/>
    </xf>
    <xf numFmtId="49" fontId="23" fillId="4" borderId="2" xfId="5" applyNumberFormat="1" applyFont="1" applyFill="1" applyBorder="1" applyAlignment="1">
      <alignment horizontal="left" vertical="center"/>
    </xf>
    <xf numFmtId="0" fontId="23" fillId="4" borderId="2" xfId="5" applyFont="1" applyFill="1" applyBorder="1" applyAlignment="1">
      <alignment horizontal="right" vertical="center"/>
    </xf>
    <xf numFmtId="49" fontId="23" fillId="0" borderId="2" xfId="5" applyNumberFormat="1" applyFont="1" applyBorder="1" applyAlignment="1">
      <alignment horizontal="left" vertical="center"/>
    </xf>
    <xf numFmtId="0" fontId="23" fillId="0" borderId="2" xfId="5" applyFont="1" applyBorder="1" applyAlignment="1">
      <alignment horizontal="right" vertical="center"/>
    </xf>
    <xf numFmtId="0" fontId="21" fillId="9" borderId="2" xfId="3" applyFont="1" applyFill="1" applyBorder="1"/>
    <xf numFmtId="0" fontId="21" fillId="0" borderId="2" xfId="3" applyFont="1" applyBorder="1"/>
    <xf numFmtId="0" fontId="21" fillId="0" borderId="2" xfId="5" applyFont="1" applyBorder="1" applyAlignment="1">
      <alignment horizontal="right" vertical="center"/>
    </xf>
    <xf numFmtId="49" fontId="21" fillId="0" borderId="2" xfId="5" applyNumberFormat="1" applyFont="1" applyBorder="1" applyAlignment="1">
      <alignment horizontal="left" vertical="center"/>
    </xf>
    <xf numFmtId="49" fontId="23" fillId="4" borderId="2" xfId="5" applyNumberFormat="1" applyFont="1" applyFill="1" applyBorder="1" applyAlignment="1">
      <alignment vertical="center"/>
    </xf>
    <xf numFmtId="165" fontId="15" fillId="9" borderId="2" xfId="3" applyNumberFormat="1" applyFont="1" applyFill="1" applyBorder="1" applyAlignment="1">
      <alignment horizontal="right" vertical="center"/>
    </xf>
    <xf numFmtId="3" fontId="15" fillId="2" borderId="0" xfId="3" applyNumberFormat="1" applyFont="1" applyFill="1" applyAlignment="1">
      <alignment vertical="center"/>
    </xf>
    <xf numFmtId="0" fontId="15" fillId="2" borderId="0" xfId="3" applyFont="1" applyFill="1" applyAlignment="1">
      <alignment vertical="center"/>
    </xf>
    <xf numFmtId="165" fontId="15" fillId="0" borderId="2" xfId="3" applyNumberFormat="1" applyFont="1" applyBorder="1" applyAlignment="1">
      <alignment horizontal="right" vertical="center"/>
    </xf>
    <xf numFmtId="0" fontId="16" fillId="0" borderId="2" xfId="3" applyFont="1" applyBorder="1" applyAlignment="1">
      <alignment vertical="center"/>
    </xf>
    <xf numFmtId="0" fontId="16" fillId="0" borderId="2" xfId="3" applyFont="1" applyBorder="1" applyAlignment="1">
      <alignment horizontal="right" vertical="center"/>
    </xf>
    <xf numFmtId="165" fontId="16" fillId="0" borderId="2" xfId="3" applyNumberFormat="1" applyFont="1" applyBorder="1" applyAlignment="1">
      <alignment horizontal="right" vertical="center"/>
    </xf>
    <xf numFmtId="49" fontId="24" fillId="0" borderId="2" xfId="3" applyNumberFormat="1" applyFont="1" applyBorder="1" applyAlignment="1">
      <alignment horizontal="right" vertical="center"/>
    </xf>
    <xf numFmtId="0" fontId="15" fillId="10" borderId="2" xfId="3" applyFont="1" applyFill="1" applyBorder="1" applyAlignment="1">
      <alignment horizontal="center" vertical="center"/>
    </xf>
    <xf numFmtId="49" fontId="15" fillId="6" borderId="2" xfId="3" applyNumberFormat="1" applyFont="1" applyFill="1" applyBorder="1" applyAlignment="1">
      <alignment horizontal="right" vertical="center"/>
    </xf>
    <xf numFmtId="0" fontId="21" fillId="2" borderId="4" xfId="3" applyFont="1" applyFill="1" applyBorder="1" applyAlignment="1">
      <alignment vertical="center"/>
    </xf>
    <xf numFmtId="0" fontId="21" fillId="2" borderId="19" xfId="2" applyFont="1" applyFill="1" applyBorder="1" applyAlignment="1">
      <alignment horizontal="center" vertical="center" wrapText="1"/>
    </xf>
    <xf numFmtId="0" fontId="24" fillId="10" borderId="20" xfId="2" applyFont="1" applyFill="1" applyBorder="1" applyAlignment="1">
      <alignment horizontal="center" vertical="center" wrapText="1"/>
    </xf>
    <xf numFmtId="165" fontId="24" fillId="6" borderId="26" xfId="3" applyNumberFormat="1" applyFont="1" applyFill="1" applyBorder="1" applyAlignment="1">
      <alignment horizontal="right" vertical="center" wrapText="1"/>
    </xf>
    <xf numFmtId="49" fontId="21" fillId="0" borderId="20" xfId="8" applyNumberFormat="1" applyFont="1" applyBorder="1" applyAlignment="1">
      <alignment vertical="center" wrapText="1"/>
    </xf>
    <xf numFmtId="165" fontId="21" fillId="0" borderId="26" xfId="8" applyNumberFormat="1" applyFont="1" applyBorder="1" applyAlignment="1">
      <alignment horizontal="right" vertical="center"/>
    </xf>
    <xf numFmtId="49" fontId="23" fillId="0" borderId="20" xfId="8" applyNumberFormat="1" applyFont="1" applyBorder="1" applyAlignment="1">
      <alignment vertical="center" wrapText="1"/>
    </xf>
    <xf numFmtId="165" fontId="23" fillId="0" borderId="26" xfId="8" applyNumberFormat="1" applyFont="1" applyBorder="1" applyAlignment="1">
      <alignment horizontal="right" vertical="center"/>
    </xf>
    <xf numFmtId="49" fontId="21" fillId="0" borderId="20" xfId="8" applyNumberFormat="1" applyFont="1" applyBorder="1" applyAlignment="1">
      <alignment vertical="center"/>
    </xf>
    <xf numFmtId="49" fontId="23" fillId="0" borderId="21" xfId="8" applyNumberFormat="1" applyFont="1" applyBorder="1" applyAlignment="1">
      <alignment vertical="center"/>
    </xf>
    <xf numFmtId="49" fontId="23" fillId="0" borderId="21" xfId="8" applyNumberFormat="1" applyFont="1" applyBorder="1" applyAlignment="1">
      <alignment vertical="center" wrapText="1"/>
    </xf>
    <xf numFmtId="49" fontId="21" fillId="0" borderId="21" xfId="8" applyNumberFormat="1" applyFont="1" applyBorder="1" applyAlignment="1">
      <alignment vertical="center"/>
    </xf>
    <xf numFmtId="49" fontId="21" fillId="0" borderId="21" xfId="8" applyNumberFormat="1" applyFont="1" applyBorder="1" applyAlignment="1">
      <alignment vertical="center" wrapText="1"/>
    </xf>
    <xf numFmtId="165" fontId="23" fillId="0" borderId="27" xfId="8" applyNumberFormat="1" applyFont="1" applyBorder="1" applyAlignment="1">
      <alignment horizontal="right" vertical="center"/>
    </xf>
    <xf numFmtId="165" fontId="23" fillId="0" borderId="2" xfId="8" applyNumberFormat="1" applyFont="1" applyBorder="1" applyAlignment="1">
      <alignment horizontal="right" vertical="center"/>
    </xf>
    <xf numFmtId="165" fontId="21" fillId="0" borderId="2" xfId="8" applyNumberFormat="1" applyFont="1" applyBorder="1" applyAlignment="1">
      <alignment horizontal="right" vertical="center"/>
    </xf>
    <xf numFmtId="165" fontId="21" fillId="0" borderId="4" xfId="8" applyNumberFormat="1" applyFont="1" applyBorder="1" applyAlignment="1">
      <alignment horizontal="right" vertical="center"/>
    </xf>
    <xf numFmtId="49" fontId="23" fillId="0" borderId="2" xfId="8" applyNumberFormat="1" applyFont="1" applyBorder="1" applyAlignment="1">
      <alignment vertical="center" wrapText="1"/>
    </xf>
    <xf numFmtId="0" fontId="24" fillId="0" borderId="9" xfId="3" applyFont="1" applyBorder="1" applyAlignment="1">
      <alignment horizontal="center" vertical="center" wrapText="1"/>
    </xf>
    <xf numFmtId="0" fontId="23" fillId="0" borderId="4" xfId="3" applyFont="1" applyBorder="1" applyAlignment="1">
      <alignment horizontal="center" vertical="center"/>
    </xf>
    <xf numFmtId="49" fontId="23" fillId="0" borderId="4" xfId="3" applyNumberFormat="1" applyFont="1" applyBorder="1" applyAlignment="1">
      <alignment horizontal="left" vertical="center" wrapText="1"/>
    </xf>
    <xf numFmtId="44" fontId="23" fillId="0" borderId="4" xfId="3" applyNumberFormat="1" applyFont="1" applyBorder="1" applyAlignment="1">
      <alignment horizontal="right" vertical="center"/>
    </xf>
    <xf numFmtId="44" fontId="21" fillId="10" borderId="2" xfId="3" applyNumberFormat="1" applyFont="1" applyFill="1" applyBorder="1" applyAlignment="1">
      <alignment horizontal="left" vertical="center" wrapText="1"/>
    </xf>
    <xf numFmtId="44" fontId="21" fillId="9" borderId="2" xfId="3" applyNumberFormat="1" applyFont="1" applyFill="1" applyBorder="1" applyAlignment="1">
      <alignment horizontal="left" vertical="center" wrapText="1"/>
    </xf>
    <xf numFmtId="44" fontId="21" fillId="0" borderId="2" xfId="3" applyNumberFormat="1" applyFont="1" applyBorder="1" applyAlignment="1">
      <alignment horizontal="left" vertical="center" wrapText="1"/>
    </xf>
    <xf numFmtId="44" fontId="21" fillId="0" borderId="2" xfId="3" applyNumberFormat="1" applyFont="1" applyBorder="1" applyAlignment="1">
      <alignment horizontal="right" vertical="center"/>
    </xf>
    <xf numFmtId="44" fontId="21" fillId="0" borderId="4" xfId="3" applyNumberFormat="1" applyFont="1" applyBorder="1" applyAlignment="1">
      <alignment horizontal="left" vertical="center" wrapText="1"/>
    </xf>
    <xf numFmtId="165" fontId="22" fillId="9" borderId="2" xfId="3" applyNumberFormat="1" applyFont="1" applyFill="1" applyBorder="1" applyAlignment="1">
      <alignment horizontal="right" vertical="center"/>
    </xf>
    <xf numFmtId="165" fontId="22" fillId="0" borderId="2" xfId="3" applyNumberFormat="1" applyFont="1" applyBorder="1" applyAlignment="1">
      <alignment horizontal="right" vertical="center"/>
    </xf>
    <xf numFmtId="165" fontId="27" fillId="0" borderId="2" xfId="3" applyNumberFormat="1" applyFont="1" applyBorder="1" applyAlignment="1">
      <alignment horizontal="right" vertical="center"/>
    </xf>
    <xf numFmtId="0" fontId="6" fillId="0" borderId="10" xfId="0" quotePrefix="1" applyFont="1" applyBorder="1" applyAlignment="1">
      <alignment horizontal="center" vertical="center" wrapText="1"/>
    </xf>
    <xf numFmtId="3" fontId="25" fillId="0" borderId="0" xfId="5" applyNumberFormat="1" applyFont="1" applyAlignment="1">
      <alignment horizontal="left"/>
    </xf>
    <xf numFmtId="3" fontId="24" fillId="2" borderId="0" xfId="5" applyNumberFormat="1" applyFont="1" applyFill="1" applyAlignment="1">
      <alignment vertical="center"/>
    </xf>
    <xf numFmtId="165" fontId="24" fillId="2" borderId="0" xfId="5" applyNumberFormat="1" applyFont="1" applyFill="1" applyAlignment="1">
      <alignment vertical="center"/>
    </xf>
    <xf numFmtId="3" fontId="24" fillId="0" borderId="0" xfId="5" applyNumberFormat="1" applyFont="1"/>
    <xf numFmtId="0" fontId="21" fillId="3" borderId="2" xfId="5" applyFont="1" applyFill="1" applyBorder="1" applyAlignment="1">
      <alignment horizontal="center" vertical="center" wrapText="1"/>
    </xf>
    <xf numFmtId="165" fontId="21" fillId="0" borderId="2" xfId="5" applyNumberFormat="1" applyFont="1" applyBorder="1" applyAlignment="1">
      <alignment horizontal="right" vertical="center" wrapText="1"/>
    </xf>
    <xf numFmtId="3" fontId="21" fillId="0" borderId="0" xfId="5" applyNumberFormat="1" applyFont="1"/>
    <xf numFmtId="3" fontId="24" fillId="15" borderId="2" xfId="5" applyNumberFormat="1" applyFont="1" applyFill="1" applyBorder="1" applyAlignment="1">
      <alignment horizontal="left" vertical="center"/>
    </xf>
    <xf numFmtId="3" fontId="24" fillId="15" borderId="2" xfId="5" applyNumberFormat="1" applyFont="1" applyFill="1" applyBorder="1" applyAlignment="1">
      <alignment horizontal="left" vertical="center" wrapText="1"/>
    </xf>
    <xf numFmtId="165" fontId="24" fillId="16" borderId="2" xfId="5" applyNumberFormat="1" applyFont="1" applyFill="1" applyBorder="1" applyAlignment="1">
      <alignment horizontal="right" vertical="center" wrapText="1"/>
    </xf>
    <xf numFmtId="3" fontId="26" fillId="5" borderId="2" xfId="5" applyNumberFormat="1" applyFont="1" applyFill="1" applyBorder="1" applyAlignment="1">
      <alignment horizontal="left" vertical="center"/>
    </xf>
    <xf numFmtId="49" fontId="26" fillId="8" borderId="2" xfId="5" applyNumberFormat="1" applyFont="1" applyFill="1" applyBorder="1" applyAlignment="1">
      <alignment horizontal="left" vertical="center" wrapText="1"/>
    </xf>
    <xf numFmtId="165" fontId="26" fillId="8" borderId="2" xfId="5" applyNumberFormat="1" applyFont="1" applyFill="1" applyBorder="1" applyAlignment="1">
      <alignment horizontal="right" vertical="center" wrapText="1"/>
    </xf>
    <xf numFmtId="3" fontId="26" fillId="0" borderId="0" xfId="5" applyNumberFormat="1" applyFont="1"/>
    <xf numFmtId="0" fontId="21" fillId="6" borderId="2" xfId="5" applyFont="1" applyFill="1" applyBorder="1" applyAlignment="1">
      <alignment horizontal="center" vertical="center"/>
    </xf>
    <xf numFmtId="49" fontId="21" fillId="6" borderId="2" xfId="5" applyNumberFormat="1" applyFont="1" applyFill="1" applyBorder="1" applyAlignment="1">
      <alignment vertical="center"/>
    </xf>
    <xf numFmtId="165" fontId="21" fillId="10" borderId="2" xfId="5" applyNumberFormat="1" applyFont="1" applyFill="1" applyBorder="1" applyAlignment="1">
      <alignment horizontal="right" vertical="center" wrapText="1"/>
    </xf>
    <xf numFmtId="3" fontId="21" fillId="0" borderId="0" xfId="5" applyNumberFormat="1" applyFont="1" applyAlignment="1">
      <alignment horizontal="center" vertical="center" wrapText="1"/>
    </xf>
    <xf numFmtId="3" fontId="23" fillId="0" borderId="0" xfId="5" applyNumberFormat="1" applyFont="1"/>
    <xf numFmtId="3" fontId="25" fillId="0" borderId="0" xfId="5" applyNumberFormat="1" applyFont="1"/>
    <xf numFmtId="3" fontId="23" fillId="0" borderId="0" xfId="5" applyNumberFormat="1" applyFont="1" applyAlignment="1">
      <alignment horizontal="center" vertical="center" wrapText="1"/>
    </xf>
    <xf numFmtId="3" fontId="13" fillId="0" borderId="0" xfId="5" applyNumberFormat="1" applyFont="1"/>
    <xf numFmtId="3" fontId="34" fillId="0" borderId="0" xfId="5" applyNumberFormat="1" applyFont="1"/>
    <xf numFmtId="3" fontId="35" fillId="0" borderId="0" xfId="5" applyNumberFormat="1" applyFont="1"/>
    <xf numFmtId="3" fontId="21" fillId="0" borderId="0" xfId="5" applyNumberFormat="1" applyFont="1" applyAlignment="1">
      <alignment vertical="center"/>
    </xf>
    <xf numFmtId="3" fontId="23" fillId="0" borderId="0" xfId="5" applyNumberFormat="1" applyFont="1" applyAlignment="1">
      <alignment vertical="center"/>
    </xf>
    <xf numFmtId="3" fontId="24" fillId="0" borderId="0" xfId="5" applyNumberFormat="1" applyFont="1" applyAlignment="1">
      <alignment vertical="center"/>
    </xf>
    <xf numFmtId="3" fontId="25" fillId="0" borderId="0" xfId="5" applyNumberFormat="1" applyFont="1" applyAlignment="1">
      <alignment vertical="center"/>
    </xf>
    <xf numFmtId="165" fontId="23" fillId="0" borderId="2" xfId="5" applyNumberFormat="1" applyFont="1" applyBorder="1" applyAlignment="1">
      <alignment horizontal="right" vertical="center" wrapText="1"/>
    </xf>
    <xf numFmtId="4" fontId="23" fillId="0" borderId="0" xfId="5" applyNumberFormat="1" applyFont="1"/>
    <xf numFmtId="3" fontId="28" fillId="0" borderId="0" xfId="5" applyNumberFormat="1" applyFont="1"/>
    <xf numFmtId="3" fontId="9" fillId="0" borderId="0" xfId="5" applyNumberFormat="1" applyFont="1"/>
    <xf numFmtId="3" fontId="21" fillId="9" borderId="0" xfId="5" applyNumberFormat="1" applyFont="1" applyFill="1"/>
    <xf numFmtId="165" fontId="21" fillId="9" borderId="2" xfId="5" applyNumberFormat="1" applyFont="1" applyFill="1" applyBorder="1" applyAlignment="1">
      <alignment horizontal="right" vertical="center" wrapText="1"/>
    </xf>
    <xf numFmtId="3" fontId="23" fillId="0" borderId="2" xfId="5" applyNumberFormat="1" applyFont="1" applyBorder="1" applyAlignment="1">
      <alignment vertical="center"/>
    </xf>
    <xf numFmtId="165" fontId="23" fillId="0" borderId="2" xfId="5" applyNumberFormat="1" applyFont="1" applyBorder="1" applyAlignment="1">
      <alignment vertical="center"/>
    </xf>
    <xf numFmtId="165" fontId="23" fillId="0" borderId="0" xfId="5" applyNumberFormat="1" applyFont="1" applyAlignment="1">
      <alignment vertical="center"/>
    </xf>
    <xf numFmtId="165" fontId="24" fillId="0" borderId="0" xfId="5" applyNumberFormat="1" applyFont="1" applyAlignment="1">
      <alignment horizontal="right" vertical="center"/>
    </xf>
    <xf numFmtId="3" fontId="21" fillId="3" borderId="2" xfId="5" applyNumberFormat="1" applyFont="1" applyFill="1" applyBorder="1" applyAlignment="1">
      <alignment horizontal="left" vertical="center"/>
    </xf>
    <xf numFmtId="0" fontId="21" fillId="3" borderId="2" xfId="5" applyFont="1" applyFill="1" applyBorder="1" applyAlignment="1">
      <alignment horizontal="left" vertical="center" wrapText="1"/>
    </xf>
    <xf numFmtId="49" fontId="21" fillId="7" borderId="2" xfId="5" applyNumberFormat="1" applyFont="1" applyFill="1" applyBorder="1" applyAlignment="1">
      <alignment horizontal="right" vertical="center"/>
    </xf>
    <xf numFmtId="49" fontId="21" fillId="7" borderId="2" xfId="5" applyNumberFormat="1" applyFont="1" applyFill="1" applyBorder="1" applyAlignment="1">
      <alignment vertical="center"/>
    </xf>
    <xf numFmtId="49" fontId="21" fillId="0" borderId="2" xfId="5" applyNumberFormat="1" applyFont="1" applyBorder="1" applyAlignment="1">
      <alignment horizontal="right" vertical="center"/>
    </xf>
    <xf numFmtId="0" fontId="21" fillId="0" borderId="2" xfId="5" applyFont="1" applyBorder="1" applyAlignment="1">
      <alignment vertical="center"/>
    </xf>
    <xf numFmtId="49" fontId="23" fillId="0" borderId="2" xfId="5" applyNumberFormat="1" applyFont="1" applyBorder="1" applyAlignment="1">
      <alignment horizontal="right" vertical="center"/>
    </xf>
    <xf numFmtId="165" fontId="23" fillId="0" borderId="2" xfId="0" applyNumberFormat="1" applyFont="1" applyBorder="1" applyAlignment="1">
      <alignment horizontal="right"/>
    </xf>
    <xf numFmtId="165" fontId="21" fillId="0" borderId="2" xfId="0" applyNumberFormat="1" applyFont="1" applyBorder="1" applyAlignment="1">
      <alignment horizontal="right"/>
    </xf>
    <xf numFmtId="49" fontId="21" fillId="4" borderId="2" xfId="5" applyNumberFormat="1" applyFont="1" applyFill="1" applyBorder="1" applyAlignment="1">
      <alignment horizontal="right" vertical="center"/>
    </xf>
    <xf numFmtId="49" fontId="23" fillId="4" borderId="2" xfId="5" applyNumberFormat="1" applyFont="1" applyFill="1" applyBorder="1" applyAlignment="1">
      <alignment horizontal="right" vertical="center"/>
    </xf>
    <xf numFmtId="0" fontId="21" fillId="4" borderId="2" xfId="5" applyFont="1" applyFill="1" applyBorder="1" applyAlignment="1">
      <alignment horizontal="right" vertical="center"/>
    </xf>
    <xf numFmtId="49" fontId="21" fillId="4" borderId="2" xfId="5" applyNumberFormat="1" applyFont="1" applyFill="1" applyBorder="1" applyAlignment="1">
      <alignment horizontal="left" vertical="center"/>
    </xf>
    <xf numFmtId="49" fontId="21" fillId="4" borderId="2" xfId="5" applyNumberFormat="1" applyFont="1" applyFill="1" applyBorder="1" applyAlignment="1">
      <alignment horizontal="left" vertical="center" wrapText="1"/>
    </xf>
    <xf numFmtId="49" fontId="23" fillId="4" borderId="2" xfId="5" applyNumberFormat="1" applyFont="1" applyFill="1" applyBorder="1" applyAlignment="1">
      <alignment horizontal="left" vertical="center" wrapText="1"/>
    </xf>
    <xf numFmtId="165" fontId="23" fillId="0" borderId="2" xfId="0" applyNumberFormat="1" applyFont="1" applyBorder="1" applyAlignment="1">
      <alignment horizontal="right" vertical="center"/>
    </xf>
    <xf numFmtId="165" fontId="21" fillId="0" borderId="2" xfId="0" applyNumberFormat="1" applyFont="1" applyBorder="1" applyAlignment="1">
      <alignment horizontal="right" vertical="center"/>
    </xf>
    <xf numFmtId="0" fontId="21" fillId="9" borderId="2" xfId="5" applyFont="1" applyFill="1" applyBorder="1" applyAlignment="1">
      <alignment horizontal="right" vertical="center"/>
    </xf>
    <xf numFmtId="49" fontId="21" fillId="9" borderId="2" xfId="5" applyNumberFormat="1" applyFont="1" applyFill="1" applyBorder="1" applyAlignment="1">
      <alignment horizontal="left" vertical="center"/>
    </xf>
    <xf numFmtId="165" fontId="21" fillId="9" borderId="2" xfId="0" applyNumberFormat="1" applyFont="1" applyFill="1" applyBorder="1" applyAlignment="1">
      <alignment horizontal="right"/>
    </xf>
    <xf numFmtId="49" fontId="21" fillId="0" borderId="2" xfId="5" applyNumberFormat="1" applyFont="1" applyBorder="1" applyAlignment="1">
      <alignment vertical="center"/>
    </xf>
    <xf numFmtId="49" fontId="21" fillId="7" borderId="2" xfId="5" applyNumberFormat="1" applyFont="1" applyFill="1" applyBorder="1" applyAlignment="1">
      <alignment vertical="center" wrapText="1"/>
    </xf>
    <xf numFmtId="49" fontId="21" fillId="0" borderId="2" xfId="5" applyNumberFormat="1" applyFont="1" applyBorder="1" applyAlignment="1">
      <alignment vertical="center" wrapText="1"/>
    </xf>
    <xf numFmtId="49" fontId="23" fillId="0" borderId="2" xfId="5" applyNumberFormat="1" applyFont="1" applyBorder="1" applyAlignment="1">
      <alignment vertical="center" wrapText="1"/>
    </xf>
    <xf numFmtId="49" fontId="21" fillId="4" borderId="2" xfId="5" applyNumberFormat="1" applyFont="1" applyFill="1" applyBorder="1" applyAlignment="1">
      <alignment vertical="center"/>
    </xf>
    <xf numFmtId="165" fontId="15" fillId="0" borderId="2" xfId="0" applyNumberFormat="1" applyFont="1" applyBorder="1" applyAlignment="1">
      <alignment horizontal="right"/>
    </xf>
    <xf numFmtId="49" fontId="26" fillId="5" borderId="2" xfId="5" applyNumberFormat="1" applyFont="1" applyFill="1" applyBorder="1" applyAlignment="1">
      <alignment horizontal="left" vertical="center"/>
    </xf>
    <xf numFmtId="49" fontId="26" fillId="5" borderId="2" xfId="5" applyNumberFormat="1" applyFont="1" applyFill="1" applyBorder="1" applyAlignment="1">
      <alignment vertical="center"/>
    </xf>
    <xf numFmtId="49" fontId="21" fillId="6" borderId="2" xfId="5" applyNumberFormat="1" applyFont="1" applyFill="1" applyBorder="1" applyAlignment="1">
      <alignment horizontal="center" vertical="center"/>
    </xf>
    <xf numFmtId="49" fontId="23" fillId="0" borderId="2" xfId="5" applyNumberFormat="1" applyFont="1" applyBorder="1" applyAlignment="1">
      <alignment vertical="center"/>
    </xf>
    <xf numFmtId="165" fontId="11" fillId="0" borderId="2" xfId="0" applyNumberFormat="1" applyFont="1" applyBorder="1" applyAlignment="1">
      <alignment horizontal="right"/>
    </xf>
    <xf numFmtId="165" fontId="8" fillId="0" borderId="2" xfId="0" applyNumberFormat="1" applyFont="1" applyBorder="1" applyAlignment="1">
      <alignment horizontal="right"/>
    </xf>
    <xf numFmtId="49" fontId="21" fillId="9" borderId="2" xfId="5" applyNumberFormat="1" applyFont="1" applyFill="1" applyBorder="1" applyAlignment="1">
      <alignment horizontal="right" vertical="center"/>
    </xf>
    <xf numFmtId="0" fontId="21" fillId="9" borderId="2" xfId="5" applyFont="1" applyFill="1" applyBorder="1" applyAlignment="1">
      <alignment vertical="center"/>
    </xf>
    <xf numFmtId="165" fontId="7" fillId="0" borderId="2" xfId="0" applyNumberFormat="1" applyFont="1" applyBorder="1" applyAlignment="1">
      <alignment horizontal="right"/>
    </xf>
    <xf numFmtId="165" fontId="9" fillId="0" borderId="2" xfId="0" applyNumberFormat="1" applyFont="1" applyBorder="1" applyAlignment="1">
      <alignment horizontal="right"/>
    </xf>
    <xf numFmtId="165" fontId="23" fillId="0" borderId="2" xfId="5" applyNumberFormat="1" applyFont="1" applyBorder="1" applyAlignment="1">
      <alignment vertical="center" wrapText="1"/>
    </xf>
    <xf numFmtId="49" fontId="21" fillId="10" borderId="2" xfId="5" applyNumberFormat="1" applyFont="1" applyFill="1" applyBorder="1" applyAlignment="1">
      <alignment horizontal="right" vertical="center"/>
    </xf>
    <xf numFmtId="0" fontId="21" fillId="10" borderId="2" xfId="5" applyFont="1" applyFill="1" applyBorder="1" applyAlignment="1">
      <alignment vertical="center"/>
    </xf>
    <xf numFmtId="49" fontId="21" fillId="10" borderId="2" xfId="5" applyNumberFormat="1" applyFont="1" applyFill="1" applyBorder="1" applyAlignment="1">
      <alignment horizontal="center" vertical="center"/>
    </xf>
    <xf numFmtId="49" fontId="26" fillId="5" borderId="2" xfId="5" applyNumberFormat="1" applyFont="1" applyFill="1" applyBorder="1" applyAlignment="1">
      <alignment vertical="center" wrapText="1"/>
    </xf>
    <xf numFmtId="49" fontId="8" fillId="6" borderId="2" xfId="5" applyNumberFormat="1" applyFont="1" applyFill="1" applyBorder="1" applyAlignment="1">
      <alignment horizontal="center" vertical="center"/>
    </xf>
    <xf numFmtId="3" fontId="24" fillId="16" borderId="2" xfId="5" applyNumberFormat="1" applyFont="1" applyFill="1" applyBorder="1" applyAlignment="1">
      <alignment horizontal="left" vertical="center"/>
    </xf>
    <xf numFmtId="3" fontId="24" fillId="16" borderId="2" xfId="5" applyNumberFormat="1" applyFont="1" applyFill="1" applyBorder="1" applyAlignment="1">
      <alignment vertical="center" wrapText="1"/>
    </xf>
    <xf numFmtId="49" fontId="8" fillId="6" borderId="2" xfId="5" applyNumberFormat="1" applyFont="1" applyFill="1" applyBorder="1" applyAlignment="1">
      <alignment vertical="center"/>
    </xf>
    <xf numFmtId="49" fontId="21" fillId="9" borderId="2" xfId="5" applyNumberFormat="1" applyFont="1" applyFill="1" applyBorder="1" applyAlignment="1">
      <alignment vertical="center"/>
    </xf>
    <xf numFmtId="0" fontId="21" fillId="0" borderId="2" xfId="0" applyFont="1" applyBorder="1" applyAlignment="1">
      <alignment vertical="center"/>
    </xf>
    <xf numFmtId="0" fontId="21" fillId="2" borderId="0" xfId="2" applyFont="1" applyFill="1" applyAlignment="1">
      <alignment vertical="center" wrapText="1"/>
    </xf>
    <xf numFmtId="165" fontId="18" fillId="0" borderId="0" xfId="3" applyNumberFormat="1" applyFont="1"/>
    <xf numFmtId="0" fontId="24" fillId="2" borderId="20" xfId="2" applyFont="1" applyFill="1" applyBorder="1" applyAlignment="1">
      <alignment horizontal="center" vertical="center" wrapText="1"/>
    </xf>
    <xf numFmtId="3" fontId="24" fillId="4" borderId="26" xfId="3" applyNumberFormat="1" applyFont="1" applyFill="1" applyBorder="1" applyAlignment="1">
      <alignment horizontal="center" vertical="center" wrapText="1"/>
    </xf>
    <xf numFmtId="3" fontId="24" fillId="4" borderId="18" xfId="3" applyNumberFormat="1" applyFont="1" applyFill="1" applyBorder="1" applyAlignment="1">
      <alignment horizontal="center" vertical="center" wrapText="1"/>
    </xf>
    <xf numFmtId="3" fontId="24" fillId="4" borderId="17" xfId="3" applyNumberFormat="1" applyFont="1" applyFill="1" applyBorder="1" applyAlignment="1">
      <alignment horizontal="center" vertical="center" wrapText="1"/>
    </xf>
    <xf numFmtId="0" fontId="29" fillId="0" borderId="0" xfId="3" applyFont="1"/>
    <xf numFmtId="165" fontId="24" fillId="6" borderId="18" xfId="3" applyNumberFormat="1" applyFont="1" applyFill="1" applyBorder="1" applyAlignment="1">
      <alignment horizontal="right" vertical="center" wrapText="1"/>
    </xf>
    <xf numFmtId="165" fontId="21" fillId="0" borderId="18" xfId="8" applyNumberFormat="1" applyFont="1" applyBorder="1" applyAlignment="1">
      <alignment horizontal="right" vertical="center"/>
    </xf>
    <xf numFmtId="165" fontId="23" fillId="0" borderId="18" xfId="8" applyNumberFormat="1" applyFont="1" applyBorder="1" applyAlignment="1">
      <alignment horizontal="right" vertical="center"/>
    </xf>
    <xf numFmtId="165" fontId="23" fillId="0" borderId="17" xfId="8" applyNumberFormat="1" applyFont="1" applyBorder="1" applyAlignment="1">
      <alignment horizontal="right" vertical="center"/>
    </xf>
    <xf numFmtId="165" fontId="21" fillId="0" borderId="27" xfId="8" applyNumberFormat="1" applyFont="1" applyBorder="1" applyAlignment="1">
      <alignment horizontal="right" vertical="center"/>
    </xf>
    <xf numFmtId="165" fontId="21" fillId="0" borderId="22" xfId="8" applyNumberFormat="1" applyFont="1" applyBorder="1" applyAlignment="1">
      <alignment horizontal="right" vertical="center"/>
    </xf>
    <xf numFmtId="165" fontId="21" fillId="0" borderId="23" xfId="8" applyNumberFormat="1" applyFont="1" applyBorder="1" applyAlignment="1">
      <alignment horizontal="right" vertical="center"/>
    </xf>
    <xf numFmtId="0" fontId="19" fillId="0" borderId="0" xfId="3" applyFont="1" applyAlignment="1">
      <alignment horizontal="right"/>
    </xf>
    <xf numFmtId="49" fontId="23" fillId="2" borderId="13" xfId="2" applyNumberFormat="1" applyFont="1" applyFill="1" applyBorder="1" applyAlignment="1">
      <alignment vertical="center" wrapText="1"/>
    </xf>
    <xf numFmtId="165" fontId="23" fillId="2" borderId="2" xfId="2" applyNumberFormat="1" applyFont="1" applyFill="1" applyBorder="1" applyAlignment="1">
      <alignment horizontal="right" vertical="center" wrapText="1"/>
    </xf>
    <xf numFmtId="165" fontId="23" fillId="2" borderId="10" xfId="2" applyNumberFormat="1" applyFont="1" applyFill="1" applyBorder="1" applyAlignment="1">
      <alignment horizontal="right" vertical="center" wrapText="1"/>
    </xf>
    <xf numFmtId="0" fontId="18" fillId="0" borderId="0" xfId="3" applyFont="1" applyAlignment="1">
      <alignment horizontal="right"/>
    </xf>
    <xf numFmtId="0" fontId="12" fillId="0" borderId="11" xfId="3" applyFont="1" applyBorder="1"/>
    <xf numFmtId="165" fontId="21" fillId="0" borderId="28" xfId="8" applyNumberFormat="1" applyFont="1" applyBorder="1" applyAlignment="1">
      <alignment horizontal="right" vertical="center"/>
    </xf>
    <xf numFmtId="165" fontId="21" fillId="0" borderId="24" xfId="8" applyNumberFormat="1" applyFont="1" applyBorder="1" applyAlignment="1">
      <alignment horizontal="right" vertical="center"/>
    </xf>
    <xf numFmtId="165" fontId="21" fillId="0" borderId="25" xfId="8" applyNumberFormat="1" applyFont="1" applyBorder="1" applyAlignment="1">
      <alignment horizontal="right" vertical="center"/>
    </xf>
    <xf numFmtId="0" fontId="21" fillId="0" borderId="13" xfId="3" applyFont="1" applyBorder="1"/>
    <xf numFmtId="0" fontId="9" fillId="0" borderId="2" xfId="3" applyFont="1" applyBorder="1" applyAlignment="1">
      <alignment horizontal="right"/>
    </xf>
    <xf numFmtId="0" fontId="8" fillId="0" borderId="2" xfId="3" applyFont="1" applyBorder="1" applyAlignment="1">
      <alignment horizontal="right"/>
    </xf>
    <xf numFmtId="0" fontId="11" fillId="0" borderId="2" xfId="5" applyFont="1" applyBorder="1" applyAlignment="1">
      <alignment vertical="center"/>
    </xf>
    <xf numFmtId="0" fontId="7" fillId="0" borderId="2" xfId="5" applyFont="1" applyBorder="1" applyAlignment="1">
      <alignment vertical="center"/>
    </xf>
    <xf numFmtId="165" fontId="21" fillId="0" borderId="2" xfId="5" applyNumberFormat="1" applyFont="1" applyBorder="1" applyAlignment="1">
      <alignment horizontal="right" wrapText="1"/>
    </xf>
    <xf numFmtId="165" fontId="23" fillId="0" borderId="2" xfId="5" applyNumberFormat="1" applyFont="1" applyBorder="1" applyAlignment="1">
      <alignment horizontal="right" wrapText="1"/>
    </xf>
    <xf numFmtId="0" fontId="8" fillId="14" borderId="2" xfId="3" applyFont="1" applyFill="1" applyBorder="1" applyAlignment="1">
      <alignment wrapText="1"/>
    </xf>
    <xf numFmtId="0" fontId="36" fillId="2" borderId="2" xfId="3" applyFont="1" applyFill="1" applyBorder="1" applyAlignment="1">
      <alignment horizontal="center" vertical="center"/>
    </xf>
    <xf numFmtId="49" fontId="25" fillId="0" borderId="2" xfId="3" applyNumberFormat="1" applyFont="1" applyBorder="1" applyAlignment="1">
      <alignment horizontal="right" vertical="center"/>
    </xf>
    <xf numFmtId="0" fontId="21" fillId="0" borderId="2" xfId="0" applyFont="1" applyBorder="1" applyAlignment="1">
      <alignment horizontal="right" wrapText="1"/>
    </xf>
    <xf numFmtId="0" fontId="21" fillId="0" borderId="2" xfId="0" applyFont="1" applyBorder="1" applyAlignment="1">
      <alignment wrapText="1"/>
    </xf>
    <xf numFmtId="0" fontId="23" fillId="0" borderId="2" xfId="0" applyFont="1" applyBorder="1" applyAlignment="1">
      <alignment vertical="center"/>
    </xf>
    <xf numFmtId="49" fontId="23" fillId="0" borderId="2" xfId="3" applyNumberFormat="1" applyFont="1" applyBorder="1" applyAlignment="1">
      <alignment horizontal="center" vertical="center"/>
    </xf>
    <xf numFmtId="4" fontId="24" fillId="0" borderId="0" xfId="5" applyNumberFormat="1" applyFont="1"/>
    <xf numFmtId="4" fontId="6" fillId="9" borderId="2" xfId="0" applyNumberFormat="1" applyFont="1" applyFill="1" applyBorder="1" applyAlignment="1">
      <alignment horizontal="right" vertical="center" wrapText="1"/>
    </xf>
    <xf numFmtId="4" fontId="6" fillId="9" borderId="10" xfId="0" applyNumberFormat="1" applyFont="1" applyFill="1" applyBorder="1" applyAlignment="1">
      <alignment horizontal="right" vertical="center" wrapText="1"/>
    </xf>
    <xf numFmtId="4" fontId="8" fillId="9" borderId="10" xfId="0" quotePrefix="1" applyNumberFormat="1" applyFont="1" applyFill="1" applyBorder="1" applyAlignment="1">
      <alignment horizontal="right" vertical="center" wrapText="1"/>
    </xf>
    <xf numFmtId="0" fontId="6" fillId="9" borderId="10" xfId="0" applyFont="1" applyFill="1" applyBorder="1" applyAlignment="1">
      <alignment horizontal="right" vertical="center"/>
    </xf>
    <xf numFmtId="4" fontId="6" fillId="9" borderId="10" xfId="0" applyNumberFormat="1" applyFont="1" applyFill="1" applyBorder="1" applyAlignment="1">
      <alignment horizontal="right" wrapText="1"/>
    </xf>
    <xf numFmtId="0" fontId="8" fillId="10" borderId="2" xfId="3" applyFont="1" applyFill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8" fillId="0" borderId="13" xfId="0" quotePrefix="1" applyFont="1" applyBorder="1" applyAlignment="1">
      <alignment horizontal="left" vertical="center" wrapText="1"/>
    </xf>
    <xf numFmtId="0" fontId="9" fillId="0" borderId="14" xfId="0" applyFont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wrapText="1"/>
    </xf>
    <xf numFmtId="0" fontId="6" fillId="0" borderId="12" xfId="0" applyFont="1" applyBorder="1" applyAlignment="1">
      <alignment horizontal="left" wrapText="1"/>
    </xf>
    <xf numFmtId="0" fontId="6" fillId="0" borderId="13" xfId="0" quotePrefix="1" applyFont="1" applyBorder="1" applyAlignment="1">
      <alignment horizontal="center" wrapText="1"/>
    </xf>
    <xf numFmtId="0" fontId="6" fillId="0" borderId="14" xfId="0" quotePrefix="1" applyFont="1" applyBorder="1" applyAlignment="1">
      <alignment horizontal="center" wrapText="1"/>
    </xf>
    <xf numFmtId="0" fontId="6" fillId="0" borderId="10" xfId="0" quotePrefix="1" applyFont="1" applyBorder="1" applyAlignment="1">
      <alignment horizontal="center" wrapText="1"/>
    </xf>
    <xf numFmtId="0" fontId="6" fillId="0" borderId="2" xfId="0" quotePrefix="1" applyFont="1" applyBorder="1" applyAlignment="1">
      <alignment horizontal="center" wrapText="1"/>
    </xf>
    <xf numFmtId="0" fontId="8" fillId="9" borderId="13" xfId="0" applyFont="1" applyFill="1" applyBorder="1" applyAlignment="1">
      <alignment horizontal="left" vertical="center" wrapText="1"/>
    </xf>
    <xf numFmtId="0" fontId="9" fillId="9" borderId="14" xfId="0" applyFont="1" applyFill="1" applyBorder="1" applyAlignment="1">
      <alignment vertical="center" wrapText="1"/>
    </xf>
    <xf numFmtId="0" fontId="9" fillId="9" borderId="14" xfId="0" applyFont="1" applyFill="1" applyBorder="1" applyAlignment="1">
      <alignment vertical="center"/>
    </xf>
    <xf numFmtId="0" fontId="8" fillId="0" borderId="13" xfId="0" applyFont="1" applyBorder="1" applyAlignment="1">
      <alignment horizontal="left" vertical="center" wrapText="1"/>
    </xf>
    <xf numFmtId="0" fontId="9" fillId="0" borderId="14" xfId="0" applyFont="1" applyBorder="1" applyAlignment="1">
      <alignment vertical="center"/>
    </xf>
    <xf numFmtId="0" fontId="8" fillId="0" borderId="13" xfId="0" quotePrefix="1" applyFont="1" applyBorder="1" applyAlignment="1">
      <alignment horizontal="left" vertical="center"/>
    </xf>
    <xf numFmtId="0" fontId="8" fillId="9" borderId="13" xfId="0" quotePrefix="1" applyFont="1" applyFill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9" borderId="14" xfId="0" applyFont="1" applyFill="1" applyBorder="1" applyAlignment="1">
      <alignment horizontal="left" vertical="center" wrapText="1"/>
    </xf>
    <xf numFmtId="0" fontId="6" fillId="9" borderId="2" xfId="0" applyFont="1" applyFill="1" applyBorder="1" applyAlignment="1">
      <alignment horizontal="left" vertical="center" wrapText="1"/>
    </xf>
    <xf numFmtId="0" fontId="6" fillId="9" borderId="13" xfId="0" applyFont="1" applyFill="1" applyBorder="1" applyAlignment="1">
      <alignment horizontal="left" vertical="center" wrapText="1"/>
    </xf>
    <xf numFmtId="0" fontId="6" fillId="9" borderId="14" xfId="0" applyFont="1" applyFill="1" applyBorder="1" applyAlignment="1">
      <alignment horizontal="left" vertical="center" wrapText="1"/>
    </xf>
    <xf numFmtId="0" fontId="6" fillId="9" borderId="10" xfId="0" applyFont="1" applyFill="1" applyBorder="1" applyAlignment="1">
      <alignment horizontal="left" vertical="center" wrapText="1"/>
    </xf>
    <xf numFmtId="0" fontId="6" fillId="9" borderId="13" xfId="0" applyFont="1" applyFill="1" applyBorder="1" applyAlignment="1">
      <alignment horizontal="left" vertical="center"/>
    </xf>
    <xf numFmtId="0" fontId="6" fillId="9" borderId="14" xfId="0" applyFont="1" applyFill="1" applyBorder="1" applyAlignment="1">
      <alignment horizontal="left" vertical="center"/>
    </xf>
    <xf numFmtId="0" fontId="6" fillId="9" borderId="10" xfId="0" applyFont="1" applyFill="1" applyBorder="1" applyAlignment="1">
      <alignment horizontal="left" vertical="center"/>
    </xf>
    <xf numFmtId="0" fontId="8" fillId="9" borderId="14" xfId="0" quotePrefix="1" applyFont="1" applyFill="1" applyBorder="1" applyAlignment="1">
      <alignment horizontal="left" vertical="center" wrapText="1"/>
    </xf>
    <xf numFmtId="0" fontId="8" fillId="9" borderId="10" xfId="0" quotePrefix="1" applyFont="1" applyFill="1" applyBorder="1" applyAlignment="1">
      <alignment horizontal="left" vertical="center" wrapText="1"/>
    </xf>
    <xf numFmtId="0" fontId="8" fillId="13" borderId="13" xfId="3" applyFont="1" applyFill="1" applyBorder="1" applyAlignment="1">
      <alignment horizontal="center" vertical="center"/>
    </xf>
    <xf numFmtId="0" fontId="8" fillId="13" borderId="14" xfId="3" applyFont="1" applyFill="1" applyBorder="1" applyAlignment="1">
      <alignment horizontal="center" vertical="center"/>
    </xf>
    <xf numFmtId="0" fontId="8" fillId="13" borderId="10" xfId="3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2" borderId="0" xfId="2" applyFont="1" applyFill="1" applyAlignment="1">
      <alignment horizontal="center" vertical="center" wrapText="1"/>
    </xf>
    <xf numFmtId="0" fontId="16" fillId="0" borderId="0" xfId="3" applyFont="1" applyAlignment="1">
      <alignment horizontal="center" wrapText="1"/>
    </xf>
    <xf numFmtId="3" fontId="12" fillId="3" borderId="11" xfId="3" applyNumberFormat="1" applyFont="1" applyFill="1" applyBorder="1" applyAlignment="1">
      <alignment horizontal="center" vertical="center" wrapText="1"/>
    </xf>
    <xf numFmtId="3" fontId="12" fillId="3" borderId="12" xfId="3" applyNumberFormat="1" applyFont="1" applyFill="1" applyBorder="1" applyAlignment="1">
      <alignment horizontal="center" vertical="center" wrapText="1"/>
    </xf>
    <xf numFmtId="3" fontId="8" fillId="3" borderId="0" xfId="3" applyNumberFormat="1" applyFont="1" applyFill="1" applyAlignment="1">
      <alignment horizontal="center" vertical="center" wrapText="1"/>
    </xf>
    <xf numFmtId="0" fontId="20" fillId="0" borderId="13" xfId="3" applyFont="1" applyBorder="1" applyAlignment="1">
      <alignment horizontal="center"/>
    </xf>
    <xf numFmtId="0" fontId="20" fillId="0" borderId="14" xfId="3" applyFont="1" applyBorder="1" applyAlignment="1">
      <alignment horizontal="center"/>
    </xf>
    <xf numFmtId="0" fontId="20" fillId="0" borderId="10" xfId="3" applyFont="1" applyBorder="1" applyAlignment="1">
      <alignment horizontal="center"/>
    </xf>
    <xf numFmtId="0" fontId="8" fillId="13" borderId="13" xfId="3" applyFont="1" applyFill="1" applyBorder="1" applyAlignment="1">
      <alignment horizontal="center"/>
    </xf>
    <xf numFmtId="0" fontId="8" fillId="13" borderId="14" xfId="3" applyFont="1" applyFill="1" applyBorder="1" applyAlignment="1">
      <alignment horizontal="center"/>
    </xf>
    <xf numFmtId="0" fontId="8" fillId="13" borderId="10" xfId="3" applyFont="1" applyFill="1" applyBorder="1" applyAlignment="1">
      <alignment horizontal="center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9" fillId="0" borderId="0" xfId="3" applyFont="1" applyAlignment="1">
      <alignment horizontal="center" wrapText="1"/>
    </xf>
    <xf numFmtId="3" fontId="8" fillId="3" borderId="11" xfId="3" applyNumberFormat="1" applyFont="1" applyFill="1" applyBorder="1" applyAlignment="1">
      <alignment horizontal="center" vertical="center" wrapText="1"/>
    </xf>
    <xf numFmtId="3" fontId="8" fillId="3" borderId="12" xfId="3" applyNumberFormat="1" applyFont="1" applyFill="1" applyBorder="1" applyAlignment="1">
      <alignment horizontal="center" vertical="center" wrapText="1"/>
    </xf>
    <xf numFmtId="3" fontId="9" fillId="4" borderId="13" xfId="3" applyNumberFormat="1" applyFont="1" applyFill="1" applyBorder="1" applyAlignment="1">
      <alignment horizontal="center" vertical="center" wrapText="1"/>
    </xf>
    <xf numFmtId="3" fontId="9" fillId="4" borderId="14" xfId="3" applyNumberFormat="1" applyFont="1" applyFill="1" applyBorder="1" applyAlignment="1">
      <alignment horizontal="center" vertical="center" wrapText="1"/>
    </xf>
    <xf numFmtId="3" fontId="9" fillId="4" borderId="10" xfId="3" applyNumberFormat="1" applyFont="1" applyFill="1" applyBorder="1" applyAlignment="1">
      <alignment horizontal="center" vertical="center" wrapText="1"/>
    </xf>
    <xf numFmtId="3" fontId="21" fillId="4" borderId="1" xfId="3" applyNumberFormat="1" applyFont="1" applyFill="1" applyBorder="1" applyAlignment="1">
      <alignment horizontal="center" vertical="center" wrapText="1"/>
    </xf>
    <xf numFmtId="3" fontId="21" fillId="4" borderId="0" xfId="3" applyNumberFormat="1" applyFont="1" applyFill="1" applyAlignment="1">
      <alignment horizontal="center" vertical="center" wrapText="1"/>
    </xf>
    <xf numFmtId="0" fontId="24" fillId="3" borderId="2" xfId="3" applyFont="1" applyFill="1" applyBorder="1" applyAlignment="1">
      <alignment horizontal="center" vertical="center" wrapText="1"/>
    </xf>
    <xf numFmtId="3" fontId="21" fillId="4" borderId="5" xfId="3" applyNumberFormat="1" applyFont="1" applyFill="1" applyBorder="1" applyAlignment="1">
      <alignment horizontal="right" vertical="center"/>
    </xf>
    <xf numFmtId="3" fontId="21" fillId="4" borderId="6" xfId="3" applyNumberFormat="1" applyFont="1" applyFill="1" applyBorder="1" applyAlignment="1">
      <alignment horizontal="right" vertical="center"/>
    </xf>
    <xf numFmtId="3" fontId="21" fillId="4" borderId="7" xfId="3" applyNumberFormat="1" applyFont="1" applyFill="1" applyBorder="1" applyAlignment="1">
      <alignment horizontal="right" vertical="center"/>
    </xf>
    <xf numFmtId="0" fontId="21" fillId="2" borderId="0" xfId="2" applyFont="1" applyFill="1" applyAlignment="1">
      <alignment horizontal="center" vertical="center" wrapText="1"/>
    </xf>
    <xf numFmtId="3" fontId="21" fillId="3" borderId="1" xfId="3" applyNumberFormat="1" applyFont="1" applyFill="1" applyBorder="1" applyAlignment="1">
      <alignment horizontal="center" vertical="center" wrapText="1"/>
    </xf>
    <xf numFmtId="3" fontId="21" fillId="3" borderId="0" xfId="3" applyNumberFormat="1" applyFont="1" applyFill="1" applyAlignment="1">
      <alignment horizontal="center" vertical="center" wrapText="1"/>
    </xf>
    <xf numFmtId="0" fontId="22" fillId="0" borderId="0" xfId="0" applyFont="1" applyAlignment="1">
      <alignment horizontal="center"/>
    </xf>
    <xf numFmtId="0" fontId="23" fillId="2" borderId="0" xfId="2" applyFont="1" applyFill="1" applyAlignment="1">
      <alignment wrapText="1"/>
    </xf>
    <xf numFmtId="0" fontId="23" fillId="2" borderId="0" xfId="2" applyFont="1" applyFill="1" applyAlignment="1">
      <alignment vertical="center" wrapText="1"/>
    </xf>
  </cellXfs>
  <cellStyles count="9">
    <cellStyle name="Normalno" xfId="0" builtinId="0"/>
    <cellStyle name="Normalno 2" xfId="2" xr:uid="{69300577-5B49-4B3E-B871-B96328E56B69}"/>
    <cellStyle name="Normalno 3" xfId="5" xr:uid="{2139891A-A2C4-4920-9E73-1B696953723A}"/>
    <cellStyle name="Normalno 3 3" xfId="6" xr:uid="{CDB3AD7C-4DF4-4944-BC2C-FF838423706C}"/>
    <cellStyle name="Normalno 4" xfId="8" xr:uid="{1055A407-0764-440B-8AAA-EF0E38DE898A}"/>
    <cellStyle name="Obično 4" xfId="3" xr:uid="{4FE0AB12-12E4-4395-8678-38ABCC71716B}"/>
    <cellStyle name="Obično_List9" xfId="7" xr:uid="{49BE9BFF-182D-4C5A-A0BE-08FE19FEB0A5}"/>
    <cellStyle name="Valuta" xfId="1" builtinId="4"/>
    <cellStyle name="Valuta 3" xfId="4" xr:uid="{AAE83029-F0EF-45E0-B188-D55773FD5D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FE8E7-B5D9-4B7F-BA26-6E8FB3793C3E}">
  <sheetPr>
    <pageSetUpPr fitToPage="1"/>
  </sheetPr>
  <dimension ref="A1:AJ40"/>
  <sheetViews>
    <sheetView tabSelected="1" workbookViewId="0"/>
  </sheetViews>
  <sheetFormatPr defaultRowHeight="15.75" x14ac:dyDescent="0.25"/>
  <cols>
    <col min="1" max="5" width="9.140625" style="6"/>
    <col min="6" max="6" width="25.28515625" style="6" customWidth="1"/>
    <col min="7" max="7" width="13.5703125" style="6" customWidth="1"/>
    <col min="8" max="8" width="19.85546875" style="6" customWidth="1"/>
    <col min="9" max="9" width="17" style="6" bestFit="1" customWidth="1"/>
    <col min="10" max="10" width="20.28515625" style="6" customWidth="1"/>
    <col min="11" max="11" width="22" style="6" customWidth="1"/>
    <col min="12" max="263" width="9.140625" style="6"/>
    <col min="264" max="264" width="25.28515625" style="6" customWidth="1"/>
    <col min="265" max="265" width="17" style="6" bestFit="1" customWidth="1"/>
    <col min="266" max="266" width="20.28515625" style="6" customWidth="1"/>
    <col min="267" max="267" width="22" style="6" customWidth="1"/>
    <col min="268" max="519" width="9.140625" style="6"/>
    <col min="520" max="520" width="25.28515625" style="6" customWidth="1"/>
    <col min="521" max="521" width="17" style="6" bestFit="1" customWidth="1"/>
    <col min="522" max="522" width="20.28515625" style="6" customWidth="1"/>
    <col min="523" max="523" width="22" style="6" customWidth="1"/>
    <col min="524" max="775" width="9.140625" style="6"/>
    <col min="776" max="776" width="25.28515625" style="6" customWidth="1"/>
    <col min="777" max="777" width="17" style="6" bestFit="1" customWidth="1"/>
    <col min="778" max="778" width="20.28515625" style="6" customWidth="1"/>
    <col min="779" max="779" width="22" style="6" customWidth="1"/>
    <col min="780" max="1031" width="9.140625" style="6"/>
    <col min="1032" max="1032" width="25.28515625" style="6" customWidth="1"/>
    <col min="1033" max="1033" width="17" style="6" bestFit="1" customWidth="1"/>
    <col min="1034" max="1034" width="20.28515625" style="6" customWidth="1"/>
    <col min="1035" max="1035" width="22" style="6" customWidth="1"/>
    <col min="1036" max="1287" width="9.140625" style="6"/>
    <col min="1288" max="1288" width="25.28515625" style="6" customWidth="1"/>
    <col min="1289" max="1289" width="17" style="6" bestFit="1" customWidth="1"/>
    <col min="1290" max="1290" width="20.28515625" style="6" customWidth="1"/>
    <col min="1291" max="1291" width="22" style="6" customWidth="1"/>
    <col min="1292" max="1543" width="9.140625" style="6"/>
    <col min="1544" max="1544" width="25.28515625" style="6" customWidth="1"/>
    <col min="1545" max="1545" width="17" style="6" bestFit="1" customWidth="1"/>
    <col min="1546" max="1546" width="20.28515625" style="6" customWidth="1"/>
    <col min="1547" max="1547" width="22" style="6" customWidth="1"/>
    <col min="1548" max="1799" width="9.140625" style="6"/>
    <col min="1800" max="1800" width="25.28515625" style="6" customWidth="1"/>
    <col min="1801" max="1801" width="17" style="6" bestFit="1" customWidth="1"/>
    <col min="1802" max="1802" width="20.28515625" style="6" customWidth="1"/>
    <col min="1803" max="1803" width="22" style="6" customWidth="1"/>
    <col min="1804" max="2055" width="9.140625" style="6"/>
    <col min="2056" max="2056" width="25.28515625" style="6" customWidth="1"/>
    <col min="2057" max="2057" width="17" style="6" bestFit="1" customWidth="1"/>
    <col min="2058" max="2058" width="20.28515625" style="6" customWidth="1"/>
    <col min="2059" max="2059" width="22" style="6" customWidth="1"/>
    <col min="2060" max="2311" width="9.140625" style="6"/>
    <col min="2312" max="2312" width="25.28515625" style="6" customWidth="1"/>
    <col min="2313" max="2313" width="17" style="6" bestFit="1" customWidth="1"/>
    <col min="2314" max="2314" width="20.28515625" style="6" customWidth="1"/>
    <col min="2315" max="2315" width="22" style="6" customWidth="1"/>
    <col min="2316" max="2567" width="9.140625" style="6"/>
    <col min="2568" max="2568" width="25.28515625" style="6" customWidth="1"/>
    <col min="2569" max="2569" width="17" style="6" bestFit="1" customWidth="1"/>
    <col min="2570" max="2570" width="20.28515625" style="6" customWidth="1"/>
    <col min="2571" max="2571" width="22" style="6" customWidth="1"/>
    <col min="2572" max="2823" width="9.140625" style="6"/>
    <col min="2824" max="2824" width="25.28515625" style="6" customWidth="1"/>
    <col min="2825" max="2825" width="17" style="6" bestFit="1" customWidth="1"/>
    <col min="2826" max="2826" width="20.28515625" style="6" customWidth="1"/>
    <col min="2827" max="2827" width="22" style="6" customWidth="1"/>
    <col min="2828" max="3079" width="9.140625" style="6"/>
    <col min="3080" max="3080" width="25.28515625" style="6" customWidth="1"/>
    <col min="3081" max="3081" width="17" style="6" bestFit="1" customWidth="1"/>
    <col min="3082" max="3082" width="20.28515625" style="6" customWidth="1"/>
    <col min="3083" max="3083" width="22" style="6" customWidth="1"/>
    <col min="3084" max="3335" width="9.140625" style="6"/>
    <col min="3336" max="3336" width="25.28515625" style="6" customWidth="1"/>
    <col min="3337" max="3337" width="17" style="6" bestFit="1" customWidth="1"/>
    <col min="3338" max="3338" width="20.28515625" style="6" customWidth="1"/>
    <col min="3339" max="3339" width="22" style="6" customWidth="1"/>
    <col min="3340" max="3591" width="9.140625" style="6"/>
    <col min="3592" max="3592" width="25.28515625" style="6" customWidth="1"/>
    <col min="3593" max="3593" width="17" style="6" bestFit="1" customWidth="1"/>
    <col min="3594" max="3594" width="20.28515625" style="6" customWidth="1"/>
    <col min="3595" max="3595" width="22" style="6" customWidth="1"/>
    <col min="3596" max="3847" width="9.140625" style="6"/>
    <col min="3848" max="3848" width="25.28515625" style="6" customWidth="1"/>
    <col min="3849" max="3849" width="17" style="6" bestFit="1" customWidth="1"/>
    <col min="3850" max="3850" width="20.28515625" style="6" customWidth="1"/>
    <col min="3851" max="3851" width="22" style="6" customWidth="1"/>
    <col min="3852" max="4103" width="9.140625" style="6"/>
    <col min="4104" max="4104" width="25.28515625" style="6" customWidth="1"/>
    <col min="4105" max="4105" width="17" style="6" bestFit="1" customWidth="1"/>
    <col min="4106" max="4106" width="20.28515625" style="6" customWidth="1"/>
    <col min="4107" max="4107" width="22" style="6" customWidth="1"/>
    <col min="4108" max="4359" width="9.140625" style="6"/>
    <col min="4360" max="4360" width="25.28515625" style="6" customWidth="1"/>
    <col min="4361" max="4361" width="17" style="6" bestFit="1" customWidth="1"/>
    <col min="4362" max="4362" width="20.28515625" style="6" customWidth="1"/>
    <col min="4363" max="4363" width="22" style="6" customWidth="1"/>
    <col min="4364" max="4615" width="9.140625" style="6"/>
    <col min="4616" max="4616" width="25.28515625" style="6" customWidth="1"/>
    <col min="4617" max="4617" width="17" style="6" bestFit="1" customWidth="1"/>
    <col min="4618" max="4618" width="20.28515625" style="6" customWidth="1"/>
    <col min="4619" max="4619" width="22" style="6" customWidth="1"/>
    <col min="4620" max="4871" width="9.140625" style="6"/>
    <col min="4872" max="4872" width="25.28515625" style="6" customWidth="1"/>
    <col min="4873" max="4873" width="17" style="6" bestFit="1" customWidth="1"/>
    <col min="4874" max="4874" width="20.28515625" style="6" customWidth="1"/>
    <col min="4875" max="4875" width="22" style="6" customWidth="1"/>
    <col min="4876" max="5127" width="9.140625" style="6"/>
    <col min="5128" max="5128" width="25.28515625" style="6" customWidth="1"/>
    <col min="5129" max="5129" width="17" style="6" bestFit="1" customWidth="1"/>
    <col min="5130" max="5130" width="20.28515625" style="6" customWidth="1"/>
    <col min="5131" max="5131" width="22" style="6" customWidth="1"/>
    <col min="5132" max="5383" width="9.140625" style="6"/>
    <col min="5384" max="5384" width="25.28515625" style="6" customWidth="1"/>
    <col min="5385" max="5385" width="17" style="6" bestFit="1" customWidth="1"/>
    <col min="5386" max="5386" width="20.28515625" style="6" customWidth="1"/>
    <col min="5387" max="5387" width="22" style="6" customWidth="1"/>
    <col min="5388" max="5639" width="9.140625" style="6"/>
    <col min="5640" max="5640" width="25.28515625" style="6" customWidth="1"/>
    <col min="5641" max="5641" width="17" style="6" bestFit="1" customWidth="1"/>
    <col min="5642" max="5642" width="20.28515625" style="6" customWidth="1"/>
    <col min="5643" max="5643" width="22" style="6" customWidth="1"/>
    <col min="5644" max="5895" width="9.140625" style="6"/>
    <col min="5896" max="5896" width="25.28515625" style="6" customWidth="1"/>
    <col min="5897" max="5897" width="17" style="6" bestFit="1" customWidth="1"/>
    <col min="5898" max="5898" width="20.28515625" style="6" customWidth="1"/>
    <col min="5899" max="5899" width="22" style="6" customWidth="1"/>
    <col min="5900" max="6151" width="9.140625" style="6"/>
    <col min="6152" max="6152" width="25.28515625" style="6" customWidth="1"/>
    <col min="6153" max="6153" width="17" style="6" bestFit="1" customWidth="1"/>
    <col min="6154" max="6154" width="20.28515625" style="6" customWidth="1"/>
    <col min="6155" max="6155" width="22" style="6" customWidth="1"/>
    <col min="6156" max="6407" width="9.140625" style="6"/>
    <col min="6408" max="6408" width="25.28515625" style="6" customWidth="1"/>
    <col min="6409" max="6409" width="17" style="6" bestFit="1" customWidth="1"/>
    <col min="6410" max="6410" width="20.28515625" style="6" customWidth="1"/>
    <col min="6411" max="6411" width="22" style="6" customWidth="1"/>
    <col min="6412" max="6663" width="9.140625" style="6"/>
    <col min="6664" max="6664" width="25.28515625" style="6" customWidth="1"/>
    <col min="6665" max="6665" width="17" style="6" bestFit="1" customWidth="1"/>
    <col min="6666" max="6666" width="20.28515625" style="6" customWidth="1"/>
    <col min="6667" max="6667" width="22" style="6" customWidth="1"/>
    <col min="6668" max="6919" width="9.140625" style="6"/>
    <col min="6920" max="6920" width="25.28515625" style="6" customWidth="1"/>
    <col min="6921" max="6921" width="17" style="6" bestFit="1" customWidth="1"/>
    <col min="6922" max="6922" width="20.28515625" style="6" customWidth="1"/>
    <col min="6923" max="6923" width="22" style="6" customWidth="1"/>
    <col min="6924" max="7175" width="9.140625" style="6"/>
    <col min="7176" max="7176" width="25.28515625" style="6" customWidth="1"/>
    <col min="7177" max="7177" width="17" style="6" bestFit="1" customWidth="1"/>
    <col min="7178" max="7178" width="20.28515625" style="6" customWidth="1"/>
    <col min="7179" max="7179" width="22" style="6" customWidth="1"/>
    <col min="7180" max="7431" width="9.140625" style="6"/>
    <col min="7432" max="7432" width="25.28515625" style="6" customWidth="1"/>
    <col min="7433" max="7433" width="17" style="6" bestFit="1" customWidth="1"/>
    <col min="7434" max="7434" width="20.28515625" style="6" customWidth="1"/>
    <col min="7435" max="7435" width="22" style="6" customWidth="1"/>
    <col min="7436" max="7687" width="9.140625" style="6"/>
    <col min="7688" max="7688" width="25.28515625" style="6" customWidth="1"/>
    <col min="7689" max="7689" width="17" style="6" bestFit="1" customWidth="1"/>
    <col min="7690" max="7690" width="20.28515625" style="6" customWidth="1"/>
    <col min="7691" max="7691" width="22" style="6" customWidth="1"/>
    <col min="7692" max="7943" width="9.140625" style="6"/>
    <col min="7944" max="7944" width="25.28515625" style="6" customWidth="1"/>
    <col min="7945" max="7945" width="17" style="6" bestFit="1" customWidth="1"/>
    <col min="7946" max="7946" width="20.28515625" style="6" customWidth="1"/>
    <col min="7947" max="7947" width="22" style="6" customWidth="1"/>
    <col min="7948" max="8199" width="9.140625" style="6"/>
    <col min="8200" max="8200" width="25.28515625" style="6" customWidth="1"/>
    <col min="8201" max="8201" width="17" style="6" bestFit="1" customWidth="1"/>
    <col min="8202" max="8202" width="20.28515625" style="6" customWidth="1"/>
    <col min="8203" max="8203" width="22" style="6" customWidth="1"/>
    <col min="8204" max="8455" width="9.140625" style="6"/>
    <col min="8456" max="8456" width="25.28515625" style="6" customWidth="1"/>
    <col min="8457" max="8457" width="17" style="6" bestFit="1" customWidth="1"/>
    <col min="8458" max="8458" width="20.28515625" style="6" customWidth="1"/>
    <col min="8459" max="8459" width="22" style="6" customWidth="1"/>
    <col min="8460" max="8711" width="9.140625" style="6"/>
    <col min="8712" max="8712" width="25.28515625" style="6" customWidth="1"/>
    <col min="8713" max="8713" width="17" style="6" bestFit="1" customWidth="1"/>
    <col min="8714" max="8714" width="20.28515625" style="6" customWidth="1"/>
    <col min="8715" max="8715" width="22" style="6" customWidth="1"/>
    <col min="8716" max="8967" width="9.140625" style="6"/>
    <col min="8968" max="8968" width="25.28515625" style="6" customWidth="1"/>
    <col min="8969" max="8969" width="17" style="6" bestFit="1" customWidth="1"/>
    <col min="8970" max="8970" width="20.28515625" style="6" customWidth="1"/>
    <col min="8971" max="8971" width="22" style="6" customWidth="1"/>
    <col min="8972" max="9223" width="9.140625" style="6"/>
    <col min="9224" max="9224" width="25.28515625" style="6" customWidth="1"/>
    <col min="9225" max="9225" width="17" style="6" bestFit="1" customWidth="1"/>
    <col min="9226" max="9226" width="20.28515625" style="6" customWidth="1"/>
    <col min="9227" max="9227" width="22" style="6" customWidth="1"/>
    <col min="9228" max="9479" width="9.140625" style="6"/>
    <col min="9480" max="9480" width="25.28515625" style="6" customWidth="1"/>
    <col min="9481" max="9481" width="17" style="6" bestFit="1" customWidth="1"/>
    <col min="9482" max="9482" width="20.28515625" style="6" customWidth="1"/>
    <col min="9483" max="9483" width="22" style="6" customWidth="1"/>
    <col min="9484" max="9735" width="9.140625" style="6"/>
    <col min="9736" max="9736" width="25.28515625" style="6" customWidth="1"/>
    <col min="9737" max="9737" width="17" style="6" bestFit="1" customWidth="1"/>
    <col min="9738" max="9738" width="20.28515625" style="6" customWidth="1"/>
    <col min="9739" max="9739" width="22" style="6" customWidth="1"/>
    <col min="9740" max="9991" width="9.140625" style="6"/>
    <col min="9992" max="9992" width="25.28515625" style="6" customWidth="1"/>
    <col min="9993" max="9993" width="17" style="6" bestFit="1" customWidth="1"/>
    <col min="9994" max="9994" width="20.28515625" style="6" customWidth="1"/>
    <col min="9995" max="9995" width="22" style="6" customWidth="1"/>
    <col min="9996" max="10247" width="9.140625" style="6"/>
    <col min="10248" max="10248" width="25.28515625" style="6" customWidth="1"/>
    <col min="10249" max="10249" width="17" style="6" bestFit="1" customWidth="1"/>
    <col min="10250" max="10250" width="20.28515625" style="6" customWidth="1"/>
    <col min="10251" max="10251" width="22" style="6" customWidth="1"/>
    <col min="10252" max="10503" width="9.140625" style="6"/>
    <col min="10504" max="10504" width="25.28515625" style="6" customWidth="1"/>
    <col min="10505" max="10505" width="17" style="6" bestFit="1" customWidth="1"/>
    <col min="10506" max="10506" width="20.28515625" style="6" customWidth="1"/>
    <col min="10507" max="10507" width="22" style="6" customWidth="1"/>
    <col min="10508" max="10759" width="9.140625" style="6"/>
    <col min="10760" max="10760" width="25.28515625" style="6" customWidth="1"/>
    <col min="10761" max="10761" width="17" style="6" bestFit="1" customWidth="1"/>
    <col min="10762" max="10762" width="20.28515625" style="6" customWidth="1"/>
    <col min="10763" max="10763" width="22" style="6" customWidth="1"/>
    <col min="10764" max="11015" width="9.140625" style="6"/>
    <col min="11016" max="11016" width="25.28515625" style="6" customWidth="1"/>
    <col min="11017" max="11017" width="17" style="6" bestFit="1" customWidth="1"/>
    <col min="11018" max="11018" width="20.28515625" style="6" customWidth="1"/>
    <col min="11019" max="11019" width="22" style="6" customWidth="1"/>
    <col min="11020" max="11271" width="9.140625" style="6"/>
    <col min="11272" max="11272" width="25.28515625" style="6" customWidth="1"/>
    <col min="11273" max="11273" width="17" style="6" bestFit="1" customWidth="1"/>
    <col min="11274" max="11274" width="20.28515625" style="6" customWidth="1"/>
    <col min="11275" max="11275" width="22" style="6" customWidth="1"/>
    <col min="11276" max="11527" width="9.140625" style="6"/>
    <col min="11528" max="11528" width="25.28515625" style="6" customWidth="1"/>
    <col min="11529" max="11529" width="17" style="6" bestFit="1" customWidth="1"/>
    <col min="11530" max="11530" width="20.28515625" style="6" customWidth="1"/>
    <col min="11531" max="11531" width="22" style="6" customWidth="1"/>
    <col min="11532" max="11783" width="9.140625" style="6"/>
    <col min="11784" max="11784" width="25.28515625" style="6" customWidth="1"/>
    <col min="11785" max="11785" width="17" style="6" bestFit="1" customWidth="1"/>
    <col min="11786" max="11786" width="20.28515625" style="6" customWidth="1"/>
    <col min="11787" max="11787" width="22" style="6" customWidth="1"/>
    <col min="11788" max="12039" width="9.140625" style="6"/>
    <col min="12040" max="12040" width="25.28515625" style="6" customWidth="1"/>
    <col min="12041" max="12041" width="17" style="6" bestFit="1" customWidth="1"/>
    <col min="12042" max="12042" width="20.28515625" style="6" customWidth="1"/>
    <col min="12043" max="12043" width="22" style="6" customWidth="1"/>
    <col min="12044" max="12295" width="9.140625" style="6"/>
    <col min="12296" max="12296" width="25.28515625" style="6" customWidth="1"/>
    <col min="12297" max="12297" width="17" style="6" bestFit="1" customWidth="1"/>
    <col min="12298" max="12298" width="20.28515625" style="6" customWidth="1"/>
    <col min="12299" max="12299" width="22" style="6" customWidth="1"/>
    <col min="12300" max="12551" width="9.140625" style="6"/>
    <col min="12552" max="12552" width="25.28515625" style="6" customWidth="1"/>
    <col min="12553" max="12553" width="17" style="6" bestFit="1" customWidth="1"/>
    <col min="12554" max="12554" width="20.28515625" style="6" customWidth="1"/>
    <col min="12555" max="12555" width="22" style="6" customWidth="1"/>
    <col min="12556" max="12807" width="9.140625" style="6"/>
    <col min="12808" max="12808" width="25.28515625" style="6" customWidth="1"/>
    <col min="12809" max="12809" width="17" style="6" bestFit="1" customWidth="1"/>
    <col min="12810" max="12810" width="20.28515625" style="6" customWidth="1"/>
    <col min="12811" max="12811" width="22" style="6" customWidth="1"/>
    <col min="12812" max="13063" width="9.140625" style="6"/>
    <col min="13064" max="13064" width="25.28515625" style="6" customWidth="1"/>
    <col min="13065" max="13065" width="17" style="6" bestFit="1" customWidth="1"/>
    <col min="13066" max="13066" width="20.28515625" style="6" customWidth="1"/>
    <col min="13067" max="13067" width="22" style="6" customWidth="1"/>
    <col min="13068" max="13319" width="9.140625" style="6"/>
    <col min="13320" max="13320" width="25.28515625" style="6" customWidth="1"/>
    <col min="13321" max="13321" width="17" style="6" bestFit="1" customWidth="1"/>
    <col min="13322" max="13322" width="20.28515625" style="6" customWidth="1"/>
    <col min="13323" max="13323" width="22" style="6" customWidth="1"/>
    <col min="13324" max="13575" width="9.140625" style="6"/>
    <col min="13576" max="13576" width="25.28515625" style="6" customWidth="1"/>
    <col min="13577" max="13577" width="17" style="6" bestFit="1" customWidth="1"/>
    <col min="13578" max="13578" width="20.28515625" style="6" customWidth="1"/>
    <col min="13579" max="13579" width="22" style="6" customWidth="1"/>
    <col min="13580" max="13831" width="9.140625" style="6"/>
    <col min="13832" max="13832" width="25.28515625" style="6" customWidth="1"/>
    <col min="13833" max="13833" width="17" style="6" bestFit="1" customWidth="1"/>
    <col min="13834" max="13834" width="20.28515625" style="6" customWidth="1"/>
    <col min="13835" max="13835" width="22" style="6" customWidth="1"/>
    <col min="13836" max="14087" width="9.140625" style="6"/>
    <col min="14088" max="14088" width="25.28515625" style="6" customWidth="1"/>
    <col min="14089" max="14089" width="17" style="6" bestFit="1" customWidth="1"/>
    <col min="14090" max="14090" width="20.28515625" style="6" customWidth="1"/>
    <col min="14091" max="14091" width="22" style="6" customWidth="1"/>
    <col min="14092" max="14343" width="9.140625" style="6"/>
    <col min="14344" max="14344" width="25.28515625" style="6" customWidth="1"/>
    <col min="14345" max="14345" width="17" style="6" bestFit="1" customWidth="1"/>
    <col min="14346" max="14346" width="20.28515625" style="6" customWidth="1"/>
    <col min="14347" max="14347" width="22" style="6" customWidth="1"/>
    <col min="14348" max="14599" width="9.140625" style="6"/>
    <col min="14600" max="14600" width="25.28515625" style="6" customWidth="1"/>
    <col min="14601" max="14601" width="17" style="6" bestFit="1" customWidth="1"/>
    <col min="14602" max="14602" width="20.28515625" style="6" customWidth="1"/>
    <col min="14603" max="14603" width="22" style="6" customWidth="1"/>
    <col min="14604" max="14855" width="9.140625" style="6"/>
    <col min="14856" max="14856" width="25.28515625" style="6" customWidth="1"/>
    <col min="14857" max="14857" width="17" style="6" bestFit="1" customWidth="1"/>
    <col min="14858" max="14858" width="20.28515625" style="6" customWidth="1"/>
    <col min="14859" max="14859" width="22" style="6" customWidth="1"/>
    <col min="14860" max="15111" width="9.140625" style="6"/>
    <col min="15112" max="15112" width="25.28515625" style="6" customWidth="1"/>
    <col min="15113" max="15113" width="17" style="6" bestFit="1" customWidth="1"/>
    <col min="15114" max="15114" width="20.28515625" style="6" customWidth="1"/>
    <col min="15115" max="15115" width="22" style="6" customWidth="1"/>
    <col min="15116" max="15367" width="9.140625" style="6"/>
    <col min="15368" max="15368" width="25.28515625" style="6" customWidth="1"/>
    <col min="15369" max="15369" width="17" style="6" bestFit="1" customWidth="1"/>
    <col min="15370" max="15370" width="20.28515625" style="6" customWidth="1"/>
    <col min="15371" max="15371" width="22" style="6" customWidth="1"/>
    <col min="15372" max="15623" width="9.140625" style="6"/>
    <col min="15624" max="15624" width="25.28515625" style="6" customWidth="1"/>
    <col min="15625" max="15625" width="17" style="6" bestFit="1" customWidth="1"/>
    <col min="15626" max="15626" width="20.28515625" style="6" customWidth="1"/>
    <col min="15627" max="15627" width="22" style="6" customWidth="1"/>
    <col min="15628" max="15879" width="9.140625" style="6"/>
    <col min="15880" max="15880" width="25.28515625" style="6" customWidth="1"/>
    <col min="15881" max="15881" width="17" style="6" bestFit="1" customWidth="1"/>
    <col min="15882" max="15882" width="20.28515625" style="6" customWidth="1"/>
    <col min="15883" max="15883" width="22" style="6" customWidth="1"/>
    <col min="15884" max="16135" width="9.140625" style="6"/>
    <col min="16136" max="16136" width="25.28515625" style="6" customWidth="1"/>
    <col min="16137" max="16137" width="17" style="6" bestFit="1" customWidth="1"/>
    <col min="16138" max="16138" width="20.28515625" style="6" customWidth="1"/>
    <col min="16139" max="16139" width="22" style="6" customWidth="1"/>
    <col min="16140" max="16384" width="9.140625" style="6"/>
  </cols>
  <sheetData>
    <row r="1" spans="2:12" ht="15.75" customHeight="1" x14ac:dyDescent="0.25">
      <c r="B1" s="539" t="s">
        <v>566</v>
      </c>
      <c r="C1" s="539"/>
      <c r="D1" s="539"/>
      <c r="E1" s="539"/>
      <c r="F1" s="539"/>
      <c r="G1" s="539"/>
      <c r="H1" s="539"/>
      <c r="I1" s="539"/>
      <c r="J1" s="539"/>
      <c r="K1" s="539"/>
    </row>
    <row r="2" spans="2:12" ht="18" customHeight="1" x14ac:dyDescent="0.25">
      <c r="B2" s="539"/>
      <c r="C2" s="539"/>
      <c r="D2" s="539"/>
      <c r="E2" s="539"/>
      <c r="F2" s="539"/>
      <c r="G2" s="539"/>
      <c r="H2" s="539"/>
      <c r="I2" s="539"/>
      <c r="J2" s="539"/>
      <c r="K2" s="539"/>
    </row>
    <row r="3" spans="2:12" ht="18" customHeight="1" x14ac:dyDescent="0.25">
      <c r="B3" s="1"/>
      <c r="C3" s="1"/>
      <c r="D3" s="1"/>
      <c r="E3" s="1"/>
      <c r="F3" s="1"/>
      <c r="G3" s="1"/>
      <c r="H3" s="1"/>
      <c r="I3" s="1"/>
      <c r="J3" s="1"/>
      <c r="K3" s="1"/>
    </row>
    <row r="4" spans="2:12" x14ac:dyDescent="0.25">
      <c r="B4" s="539" t="s">
        <v>0</v>
      </c>
      <c r="C4" s="539"/>
      <c r="D4" s="539"/>
      <c r="E4" s="539"/>
      <c r="F4" s="539"/>
      <c r="G4" s="539"/>
      <c r="H4" s="539"/>
      <c r="I4" s="539"/>
      <c r="J4" s="539"/>
      <c r="K4" s="539"/>
    </row>
    <row r="5" spans="2:12" x14ac:dyDescent="0.25">
      <c r="B5" s="542"/>
      <c r="C5" s="542"/>
      <c r="D5" s="542"/>
      <c r="E5" s="1"/>
      <c r="F5" s="1"/>
      <c r="G5" s="1"/>
      <c r="H5" s="1"/>
      <c r="I5" s="1"/>
      <c r="J5" s="1"/>
      <c r="K5" s="8"/>
    </row>
    <row r="6" spans="2:12" x14ac:dyDescent="0.25">
      <c r="B6" s="1"/>
      <c r="C6" s="2"/>
      <c r="D6" s="2"/>
      <c r="E6" s="2"/>
      <c r="F6" s="543" t="s">
        <v>264</v>
      </c>
      <c r="G6" s="543"/>
      <c r="H6" s="543"/>
      <c r="I6" s="543"/>
      <c r="J6" s="543"/>
      <c r="K6" s="543"/>
      <c r="L6" s="543"/>
    </row>
    <row r="7" spans="2:12" x14ac:dyDescent="0.25">
      <c r="B7" s="544"/>
      <c r="C7" s="544"/>
      <c r="D7" s="544"/>
      <c r="E7" s="544"/>
      <c r="F7" s="544"/>
      <c r="G7" s="9"/>
      <c r="H7" s="9"/>
      <c r="I7" s="10"/>
      <c r="J7" s="10"/>
      <c r="K7" s="11" t="s">
        <v>265</v>
      </c>
    </row>
    <row r="8" spans="2:12" ht="31.5" customHeight="1" x14ac:dyDescent="0.25">
      <c r="B8" s="545" t="s">
        <v>266</v>
      </c>
      <c r="C8" s="546"/>
      <c r="D8" s="546"/>
      <c r="E8" s="546"/>
      <c r="F8" s="547"/>
      <c r="G8" s="13" t="s">
        <v>567</v>
      </c>
      <c r="H8" s="13" t="s">
        <v>571</v>
      </c>
      <c r="I8" s="14" t="s">
        <v>569</v>
      </c>
      <c r="J8" s="14" t="s">
        <v>570</v>
      </c>
      <c r="K8" s="15" t="s">
        <v>568</v>
      </c>
    </row>
    <row r="9" spans="2:12" x14ac:dyDescent="0.25">
      <c r="B9" s="548">
        <v>1</v>
      </c>
      <c r="C9" s="548"/>
      <c r="D9" s="548"/>
      <c r="E9" s="548"/>
      <c r="F9" s="545"/>
      <c r="G9" s="12"/>
      <c r="H9" s="12"/>
      <c r="I9" s="14">
        <v>3</v>
      </c>
      <c r="J9" s="14">
        <v>4</v>
      </c>
      <c r="K9" s="14">
        <v>5</v>
      </c>
    </row>
    <row r="10" spans="2:12" x14ac:dyDescent="0.25">
      <c r="B10" s="549" t="s">
        <v>267</v>
      </c>
      <c r="C10" s="550"/>
      <c r="D10" s="550"/>
      <c r="E10" s="550"/>
      <c r="F10" s="551"/>
      <c r="G10" s="18">
        <f t="shared" ref="G10:H10" si="0">G11+G12</f>
        <v>5100997.3</v>
      </c>
      <c r="H10" s="18">
        <f t="shared" si="0"/>
        <v>5178957.92</v>
      </c>
      <c r="I10" s="18">
        <f>I11+I12</f>
        <v>5420091.0800000001</v>
      </c>
      <c r="J10" s="18">
        <f>J11+J12</f>
        <v>5902923.1899999995</v>
      </c>
      <c r="K10" s="18">
        <f>K11+K12</f>
        <v>6174587.6400000006</v>
      </c>
    </row>
    <row r="11" spans="2:12" x14ac:dyDescent="0.25">
      <c r="B11" s="552" t="s">
        <v>268</v>
      </c>
      <c r="C11" s="541"/>
      <c r="D11" s="541"/>
      <c r="E11" s="541"/>
      <c r="F11" s="553"/>
      <c r="G11" s="19">
        <f>'Prihodi po ekonomskoj klas'!D10</f>
        <v>5100997.3</v>
      </c>
      <c r="H11" s="19">
        <f>'Prihodi po ekonomskoj klas'!E10</f>
        <v>5178157.92</v>
      </c>
      <c r="I11" s="19">
        <f>'Prihodi po ekonomskoj klas'!F10</f>
        <v>5420091.0800000001</v>
      </c>
      <c r="J11" s="19">
        <f>'Prihodi po ekonomskoj klas'!G10</f>
        <v>5902923.1899999995</v>
      </c>
      <c r="K11" s="19">
        <f>'Prihodi po ekonomskoj klas'!H10</f>
        <v>6174587.6400000006</v>
      </c>
    </row>
    <row r="12" spans="2:12" x14ac:dyDescent="0.25">
      <c r="B12" s="554" t="s">
        <v>269</v>
      </c>
      <c r="C12" s="553"/>
      <c r="D12" s="553"/>
      <c r="E12" s="553"/>
      <c r="F12" s="553"/>
      <c r="G12" s="19">
        <f>'Prihodi po ekonomskoj klas'!D68</f>
        <v>0</v>
      </c>
      <c r="H12" s="19">
        <f>'Prihodi po ekonomskoj klas'!E68</f>
        <v>800</v>
      </c>
      <c r="I12" s="19">
        <f>'Prihodi po ekonomskoj klas'!F68</f>
        <v>0</v>
      </c>
      <c r="J12" s="19">
        <f>'Prihodi po ekonomskoj klas'!G68</f>
        <v>0</v>
      </c>
      <c r="K12" s="19">
        <f>'Prihodi po ekonomskoj klas'!H68</f>
        <v>0</v>
      </c>
    </row>
    <row r="13" spans="2:12" x14ac:dyDescent="0.25">
      <c r="B13" s="20" t="s">
        <v>270</v>
      </c>
      <c r="C13" s="17"/>
      <c r="D13" s="17"/>
      <c r="E13" s="17"/>
      <c r="F13" s="17"/>
      <c r="G13" s="18">
        <f t="shared" ref="G13:H13" si="1">G14+G15</f>
        <v>5931700.1700000009</v>
      </c>
      <c r="H13" s="18">
        <f t="shared" si="1"/>
        <v>4614031.7699999996</v>
      </c>
      <c r="I13" s="18">
        <f>I14+I15</f>
        <v>5674498.2300000004</v>
      </c>
      <c r="J13" s="18">
        <f>J14+J15</f>
        <v>5750359.5899999999</v>
      </c>
      <c r="K13" s="18">
        <f>K14+K15</f>
        <v>5794611.3300000001</v>
      </c>
    </row>
    <row r="14" spans="2:12" x14ac:dyDescent="0.25">
      <c r="B14" s="540" t="s">
        <v>271</v>
      </c>
      <c r="C14" s="541"/>
      <c r="D14" s="541"/>
      <c r="E14" s="541"/>
      <c r="F14" s="541"/>
      <c r="G14" s="19">
        <f>'RASHODI-ek.kl.'!D57</f>
        <v>5084825.8800000008</v>
      </c>
      <c r="H14" s="19">
        <f>'RASHODI-ek.kl.'!E57</f>
        <v>4244329.5999999996</v>
      </c>
      <c r="I14" s="19">
        <f>'RASHODI-ek.kl.'!F57</f>
        <v>5323849.95</v>
      </c>
      <c r="J14" s="19">
        <f>'RASHODI-ek.kl.'!G57</f>
        <v>5396761.3099999996</v>
      </c>
      <c r="K14" s="19">
        <f>'RASHODI-ek.kl.'!H57</f>
        <v>5438063.0499999998</v>
      </c>
    </row>
    <row r="15" spans="2:12" x14ac:dyDescent="0.25">
      <c r="B15" s="554" t="s">
        <v>272</v>
      </c>
      <c r="C15" s="553"/>
      <c r="D15" s="553"/>
      <c r="E15" s="553"/>
      <c r="F15" s="553"/>
      <c r="G15" s="19">
        <f>'RASHODI-ek.kl.'!D209</f>
        <v>846874.29</v>
      </c>
      <c r="H15" s="19">
        <f>'RASHODI-ek.kl.'!E209</f>
        <v>369702.17000000004</v>
      </c>
      <c r="I15" s="19">
        <f>'RASHODI-ek.kl.'!F209</f>
        <v>350648.28</v>
      </c>
      <c r="J15" s="19">
        <f>'RASHODI-ek.kl.'!G209</f>
        <v>353598.28</v>
      </c>
      <c r="K15" s="19">
        <f>'RASHODI-ek.kl.'!H209</f>
        <v>356548.28</v>
      </c>
    </row>
    <row r="16" spans="2:12" x14ac:dyDescent="0.25">
      <c r="B16" s="555" t="s">
        <v>273</v>
      </c>
      <c r="C16" s="550"/>
      <c r="D16" s="550"/>
      <c r="E16" s="550"/>
      <c r="F16" s="550"/>
      <c r="G16" s="18">
        <f t="shared" ref="G16" si="2">G10-G13</f>
        <v>-830702.87000000104</v>
      </c>
      <c r="H16" s="18">
        <f t="shared" ref="H16" si="3">H10-H13</f>
        <v>564926.15000000037</v>
      </c>
      <c r="I16" s="18">
        <f>I10-I13</f>
        <v>-254407.15000000037</v>
      </c>
      <c r="J16" s="18">
        <f>J10-J13</f>
        <v>152563.59999999963</v>
      </c>
      <c r="K16" s="18">
        <f>K10-K13</f>
        <v>379976.31000000052</v>
      </c>
    </row>
    <row r="17" spans="1:36" x14ac:dyDescent="0.25">
      <c r="B17" s="1"/>
      <c r="C17" s="22"/>
      <c r="D17" s="22"/>
      <c r="E17" s="22"/>
      <c r="F17" s="22"/>
      <c r="G17" s="22"/>
      <c r="H17" s="22"/>
      <c r="I17" s="22"/>
      <c r="J17" s="23"/>
      <c r="K17" s="23"/>
    </row>
    <row r="18" spans="1:36" x14ac:dyDescent="0.25">
      <c r="B18" s="1"/>
      <c r="C18" s="22"/>
      <c r="D18" s="22"/>
      <c r="E18" s="22"/>
      <c r="F18" s="543" t="s">
        <v>274</v>
      </c>
      <c r="G18" s="543"/>
      <c r="H18" s="543"/>
      <c r="I18" s="543"/>
      <c r="J18" s="543"/>
      <c r="K18" s="543"/>
      <c r="L18" s="543"/>
    </row>
    <row r="19" spans="1:36" x14ac:dyDescent="0.25">
      <c r="I19" s="22"/>
      <c r="J19" s="23"/>
      <c r="K19" s="23"/>
    </row>
    <row r="20" spans="1:36" ht="31.5" customHeight="1" x14ac:dyDescent="0.25">
      <c r="B20" s="545" t="s">
        <v>266</v>
      </c>
      <c r="C20" s="546"/>
      <c r="D20" s="546"/>
      <c r="E20" s="546"/>
      <c r="F20" s="546"/>
      <c r="G20" s="16" t="s">
        <v>567</v>
      </c>
      <c r="H20" s="16" t="s">
        <v>571</v>
      </c>
      <c r="I20" s="14" t="s">
        <v>569</v>
      </c>
      <c r="J20" s="14" t="s">
        <v>570</v>
      </c>
      <c r="K20" s="15" t="s">
        <v>568</v>
      </c>
    </row>
    <row r="21" spans="1:36" x14ac:dyDescent="0.25">
      <c r="B21" s="548">
        <v>1</v>
      </c>
      <c r="C21" s="548"/>
      <c r="D21" s="548"/>
      <c r="E21" s="548"/>
      <c r="F21" s="545"/>
      <c r="G21" s="16"/>
      <c r="H21" s="16"/>
      <c r="I21" s="14">
        <v>3</v>
      </c>
      <c r="J21" s="14">
        <v>4</v>
      </c>
      <c r="K21" s="14">
        <v>5</v>
      </c>
    </row>
    <row r="22" spans="1:36" ht="15.75" customHeight="1" x14ac:dyDescent="0.25">
      <c r="B22" s="552" t="s">
        <v>275</v>
      </c>
      <c r="C22" s="556"/>
      <c r="D22" s="556"/>
      <c r="E22" s="556"/>
      <c r="F22" s="556"/>
      <c r="G22" s="24"/>
      <c r="H22" s="24"/>
      <c r="I22" s="25"/>
      <c r="J22" s="25"/>
      <c r="K22" s="25"/>
    </row>
    <row r="23" spans="1:36" x14ac:dyDescent="0.25">
      <c r="B23" s="552" t="s">
        <v>276</v>
      </c>
      <c r="C23" s="541"/>
      <c r="D23" s="541"/>
      <c r="E23" s="541"/>
      <c r="F23" s="541"/>
      <c r="G23" s="21"/>
      <c r="H23" s="21"/>
      <c r="I23" s="25"/>
      <c r="J23" s="25"/>
      <c r="K23" s="25"/>
    </row>
    <row r="24" spans="1:36" x14ac:dyDescent="0.25">
      <c r="B24" s="549" t="s">
        <v>277</v>
      </c>
      <c r="C24" s="557"/>
      <c r="D24" s="557"/>
      <c r="E24" s="557"/>
      <c r="F24" s="557"/>
      <c r="G24" s="26"/>
      <c r="H24" s="26"/>
      <c r="I24" s="27"/>
      <c r="J24" s="27"/>
      <c r="K24" s="27"/>
    </row>
    <row r="25" spans="1:36" s="28" customFormat="1" ht="15" customHeight="1" x14ac:dyDescent="0.25">
      <c r="A25" s="6"/>
      <c r="B25" s="558" t="s">
        <v>278</v>
      </c>
      <c r="C25" s="558"/>
      <c r="D25" s="558"/>
      <c r="E25" s="558"/>
      <c r="F25" s="559"/>
      <c r="G25" s="533">
        <f>G16+G24</f>
        <v>-830702.87000000104</v>
      </c>
      <c r="H25" s="533">
        <f t="shared" ref="H25:I25" si="4">H16+H24</f>
        <v>564926.15000000037</v>
      </c>
      <c r="I25" s="533">
        <f t="shared" si="4"/>
        <v>-254407.15000000037</v>
      </c>
      <c r="J25" s="18">
        <f>J16+J24</f>
        <v>152563.59999999963</v>
      </c>
      <c r="K25" s="18">
        <f>K16+K24</f>
        <v>379976.31000000052</v>
      </c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</row>
    <row r="26" spans="1:36" s="28" customFormat="1" ht="15" customHeight="1" x14ac:dyDescent="0.25">
      <c r="A26" s="6"/>
      <c r="B26" s="7"/>
      <c r="C26" s="7"/>
      <c r="D26" s="7"/>
      <c r="E26" s="7"/>
      <c r="F26" s="7"/>
      <c r="G26" s="7"/>
      <c r="H26" s="7"/>
      <c r="I26" s="5"/>
      <c r="J26" s="5"/>
      <c r="K26" s="5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</row>
    <row r="27" spans="1:36" s="28" customFormat="1" x14ac:dyDescent="0.25">
      <c r="A27" s="6"/>
      <c r="B27" s="1"/>
      <c r="C27" s="2"/>
      <c r="D27" s="2"/>
      <c r="E27" s="2"/>
      <c r="F27" s="543" t="s">
        <v>279</v>
      </c>
      <c r="G27" s="543"/>
      <c r="H27" s="543"/>
      <c r="I27" s="543"/>
      <c r="J27" s="543"/>
      <c r="K27" s="543"/>
      <c r="L27" s="543"/>
      <c r="M27" s="1"/>
      <c r="N27" s="2"/>
      <c r="O27" s="2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</row>
    <row r="28" spans="1:36" s="28" customFormat="1" x14ac:dyDescent="0.25">
      <c r="A28" s="6"/>
      <c r="B28" s="1"/>
      <c r="C28" s="2"/>
      <c r="D28" s="2"/>
      <c r="E28" s="2"/>
      <c r="F28" s="543"/>
      <c r="G28" s="543"/>
      <c r="H28" s="543"/>
      <c r="I28" s="543"/>
      <c r="J28" s="543"/>
      <c r="K28" s="543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spans="1:36" s="28" customFormat="1" ht="31.5" customHeight="1" x14ac:dyDescent="0.25">
      <c r="A29" s="6"/>
      <c r="B29" s="545" t="s">
        <v>266</v>
      </c>
      <c r="C29" s="546"/>
      <c r="D29" s="546"/>
      <c r="E29" s="546"/>
      <c r="F29" s="547"/>
      <c r="G29" s="13" t="s">
        <v>567</v>
      </c>
      <c r="H29" s="13" t="s">
        <v>571</v>
      </c>
      <c r="I29" s="14" t="s">
        <v>569</v>
      </c>
      <c r="J29" s="14" t="s">
        <v>570</v>
      </c>
      <c r="K29" s="15" t="s">
        <v>568</v>
      </c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</row>
    <row r="30" spans="1:36" s="28" customFormat="1" ht="15" customHeight="1" x14ac:dyDescent="0.25">
      <c r="A30" s="6"/>
      <c r="B30" s="559" t="s">
        <v>280</v>
      </c>
      <c r="C30" s="560"/>
      <c r="D30" s="560"/>
      <c r="E30" s="560"/>
      <c r="F30" s="561"/>
      <c r="G30" s="534">
        <v>-12356.04</v>
      </c>
      <c r="H30" s="534">
        <f>G30+G31</f>
        <v>-843058.91000000108</v>
      </c>
      <c r="I30" s="18">
        <f>H31</f>
        <v>-278132.76000000071</v>
      </c>
      <c r="J30" s="18">
        <f>I31</f>
        <v>-532539.91000000108</v>
      </c>
      <c r="K30" s="18">
        <f>J31</f>
        <v>-379976.31000000145</v>
      </c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</row>
    <row r="31" spans="1:36" s="28" customFormat="1" ht="15" customHeight="1" x14ac:dyDescent="0.25">
      <c r="A31" s="6"/>
      <c r="B31" s="559" t="s">
        <v>281</v>
      </c>
      <c r="C31" s="560"/>
      <c r="D31" s="560"/>
      <c r="E31" s="560"/>
      <c r="F31" s="561"/>
      <c r="G31" s="534">
        <f>G16</f>
        <v>-830702.87000000104</v>
      </c>
      <c r="H31" s="534">
        <f>H25+H30</f>
        <v>-278132.76000000071</v>
      </c>
      <c r="I31" s="534">
        <f>I25+I30</f>
        <v>-532539.91000000108</v>
      </c>
      <c r="J31" s="534">
        <f>J25+J30</f>
        <v>-379976.31000000145</v>
      </c>
      <c r="K31" s="534">
        <f>K25+K30</f>
        <v>-9.3132257461547852E-10</v>
      </c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</row>
    <row r="32" spans="1:36" ht="45" customHeight="1" x14ac:dyDescent="0.25">
      <c r="B32" s="555" t="s">
        <v>282</v>
      </c>
      <c r="C32" s="565"/>
      <c r="D32" s="565"/>
      <c r="E32" s="565"/>
      <c r="F32" s="566"/>
      <c r="G32" s="535"/>
      <c r="H32" s="535"/>
      <c r="I32" s="535"/>
      <c r="J32" s="535"/>
      <c r="K32" s="535"/>
    </row>
    <row r="33" spans="2:12" x14ac:dyDescent="0.25">
      <c r="B33" s="3"/>
      <c r="C33" s="4"/>
      <c r="D33" s="4"/>
      <c r="E33" s="4"/>
      <c r="F33" s="4"/>
      <c r="G33" s="4"/>
      <c r="H33" s="4"/>
      <c r="I33" s="5"/>
      <c r="J33" s="5"/>
      <c r="K33" s="5"/>
    </row>
    <row r="34" spans="2:12" x14ac:dyDescent="0.25">
      <c r="B34" s="1"/>
      <c r="C34" s="2"/>
      <c r="D34" s="2"/>
      <c r="E34" s="2"/>
      <c r="F34" s="543" t="s">
        <v>283</v>
      </c>
      <c r="G34" s="543"/>
      <c r="H34" s="543"/>
      <c r="I34" s="543"/>
      <c r="J34" s="543"/>
      <c r="K34" s="543"/>
      <c r="L34" s="543"/>
    </row>
    <row r="35" spans="2:12" x14ac:dyDescent="0.25">
      <c r="B35" s="1"/>
      <c r="C35" s="2"/>
      <c r="D35" s="2"/>
      <c r="E35" s="2"/>
      <c r="F35" s="543"/>
      <c r="G35" s="543"/>
      <c r="H35" s="543"/>
      <c r="I35" s="543"/>
      <c r="J35" s="543"/>
      <c r="K35" s="543"/>
    </row>
    <row r="36" spans="2:12" ht="31.5" customHeight="1" x14ac:dyDescent="0.25">
      <c r="B36" s="545" t="s">
        <v>266</v>
      </c>
      <c r="C36" s="546"/>
      <c r="D36" s="546"/>
      <c r="E36" s="546"/>
      <c r="F36" s="547"/>
      <c r="G36" s="13" t="s">
        <v>567</v>
      </c>
      <c r="H36" s="13" t="s">
        <v>571</v>
      </c>
      <c r="I36" s="14" t="s">
        <v>569</v>
      </c>
      <c r="J36" s="14" t="s">
        <v>570</v>
      </c>
      <c r="K36" s="15" t="s">
        <v>568</v>
      </c>
    </row>
    <row r="37" spans="2:12" x14ac:dyDescent="0.25">
      <c r="B37" s="559" t="s">
        <v>284</v>
      </c>
      <c r="C37" s="560"/>
      <c r="D37" s="560"/>
      <c r="E37" s="560"/>
      <c r="F37" s="561"/>
      <c r="G37" s="534">
        <f>G30</f>
        <v>-12356.04</v>
      </c>
      <c r="H37" s="534">
        <f>G40</f>
        <v>-843058.91000000108</v>
      </c>
      <c r="I37" s="534">
        <f t="shared" ref="I37:K37" si="5">H40</f>
        <v>-278132.76000000071</v>
      </c>
      <c r="J37" s="534">
        <f t="shared" si="5"/>
        <v>-532539.91000000108</v>
      </c>
      <c r="K37" s="534">
        <f t="shared" si="5"/>
        <v>-379976.31000000145</v>
      </c>
    </row>
    <row r="38" spans="2:12" ht="30" customHeight="1" x14ac:dyDescent="0.25">
      <c r="B38" s="559" t="s">
        <v>285</v>
      </c>
      <c r="C38" s="560"/>
      <c r="D38" s="560"/>
      <c r="E38" s="560"/>
      <c r="F38" s="561"/>
      <c r="G38" s="537">
        <f>G16</f>
        <v>-830702.87000000104</v>
      </c>
      <c r="H38" s="537">
        <f>H16</f>
        <v>564926.15000000037</v>
      </c>
      <c r="I38" s="18">
        <f>I25</f>
        <v>-254407.15000000037</v>
      </c>
      <c r="J38" s="18">
        <f>J25</f>
        <v>152563.59999999963</v>
      </c>
      <c r="K38" s="18">
        <f>K25</f>
        <v>379976.31000000052</v>
      </c>
    </row>
    <row r="39" spans="2:12" x14ac:dyDescent="0.25">
      <c r="B39" s="562" t="s">
        <v>286</v>
      </c>
      <c r="C39" s="563"/>
      <c r="D39" s="563"/>
      <c r="E39" s="563"/>
      <c r="F39" s="564"/>
      <c r="G39" s="536"/>
      <c r="H39" s="536"/>
      <c r="I39" s="18">
        <v>0</v>
      </c>
      <c r="J39" s="18">
        <v>0</v>
      </c>
      <c r="K39" s="18"/>
    </row>
    <row r="40" spans="2:12" x14ac:dyDescent="0.25">
      <c r="B40" s="555" t="s">
        <v>281</v>
      </c>
      <c r="C40" s="565"/>
      <c r="D40" s="565"/>
      <c r="E40" s="565"/>
      <c r="F40" s="566"/>
      <c r="G40" s="535">
        <f>G37+G38</f>
        <v>-843058.91000000108</v>
      </c>
      <c r="H40" s="535">
        <f t="shared" ref="H40:K40" si="6">H37+H38</f>
        <v>-278132.76000000071</v>
      </c>
      <c r="I40" s="535">
        <f t="shared" si="6"/>
        <v>-532539.91000000108</v>
      </c>
      <c r="J40" s="535">
        <f t="shared" si="6"/>
        <v>-379976.31000000145</v>
      </c>
      <c r="K40" s="535">
        <f t="shared" si="6"/>
        <v>-9.3132257461547852E-10</v>
      </c>
    </row>
  </sheetData>
  <mergeCells count="33">
    <mergeCell ref="B37:F37"/>
    <mergeCell ref="B38:F38"/>
    <mergeCell ref="B39:F39"/>
    <mergeCell ref="B40:F40"/>
    <mergeCell ref="B30:F30"/>
    <mergeCell ref="B31:F31"/>
    <mergeCell ref="B32:F32"/>
    <mergeCell ref="F34:L34"/>
    <mergeCell ref="F35:K35"/>
    <mergeCell ref="B36:F36"/>
    <mergeCell ref="B29:F29"/>
    <mergeCell ref="B15:F15"/>
    <mergeCell ref="B16:F16"/>
    <mergeCell ref="F18:L18"/>
    <mergeCell ref="B20:F20"/>
    <mergeCell ref="B21:F21"/>
    <mergeCell ref="B22:F22"/>
    <mergeCell ref="B23:F23"/>
    <mergeCell ref="B24:F24"/>
    <mergeCell ref="B25:F25"/>
    <mergeCell ref="F27:L27"/>
    <mergeCell ref="F28:K28"/>
    <mergeCell ref="B1:K2"/>
    <mergeCell ref="B14:F14"/>
    <mergeCell ref="B4:K4"/>
    <mergeCell ref="B5:D5"/>
    <mergeCell ref="F6:L6"/>
    <mergeCell ref="B7:F7"/>
    <mergeCell ref="B8:F8"/>
    <mergeCell ref="B9:F9"/>
    <mergeCell ref="B10:F10"/>
    <mergeCell ref="B11:F11"/>
    <mergeCell ref="B12:F12"/>
  </mergeCells>
  <pageMargins left="0.7" right="0.7" top="0.75" bottom="0.75" header="0.3" footer="0.3"/>
  <pageSetup paperSize="9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21900-BA8D-4365-8E74-878378CEF445}">
  <sheetPr>
    <pageSetUpPr fitToPage="1"/>
  </sheetPr>
  <dimension ref="A2:L74"/>
  <sheetViews>
    <sheetView zoomScaleNormal="100" workbookViewId="0">
      <selection activeCell="C10" sqref="C10"/>
    </sheetView>
  </sheetViews>
  <sheetFormatPr defaultRowHeight="15.75" x14ac:dyDescent="0.25"/>
  <cols>
    <col min="1" max="1" width="7" style="6" bestFit="1" customWidth="1"/>
    <col min="2" max="2" width="9.140625" style="6"/>
    <col min="3" max="3" width="55.85546875" style="6" customWidth="1"/>
    <col min="4" max="5" width="21.28515625" style="6" customWidth="1"/>
    <col min="6" max="8" width="20.28515625" style="6" bestFit="1" customWidth="1"/>
    <col min="9" max="9" width="9.140625" style="6"/>
    <col min="10" max="24" width="0" style="6" hidden="1" customWidth="1"/>
    <col min="25" max="258" width="9.140625" style="6"/>
    <col min="259" max="259" width="7" style="6" bestFit="1" customWidth="1"/>
    <col min="260" max="260" width="9.140625" style="6"/>
    <col min="261" max="261" width="41.28515625" style="6" bestFit="1" customWidth="1"/>
    <col min="262" max="264" width="20.28515625" style="6" bestFit="1" customWidth="1"/>
    <col min="265" max="514" width="9.140625" style="6"/>
    <col min="515" max="515" width="7" style="6" bestFit="1" customWidth="1"/>
    <col min="516" max="516" width="9.140625" style="6"/>
    <col min="517" max="517" width="41.28515625" style="6" bestFit="1" customWidth="1"/>
    <col min="518" max="520" width="20.28515625" style="6" bestFit="1" customWidth="1"/>
    <col min="521" max="770" width="9.140625" style="6"/>
    <col min="771" max="771" width="7" style="6" bestFit="1" customWidth="1"/>
    <col min="772" max="772" width="9.140625" style="6"/>
    <col min="773" max="773" width="41.28515625" style="6" bestFit="1" customWidth="1"/>
    <col min="774" max="776" width="20.28515625" style="6" bestFit="1" customWidth="1"/>
    <col min="777" max="1026" width="9.140625" style="6"/>
    <col min="1027" max="1027" width="7" style="6" bestFit="1" customWidth="1"/>
    <col min="1028" max="1028" width="9.140625" style="6"/>
    <col min="1029" max="1029" width="41.28515625" style="6" bestFit="1" customWidth="1"/>
    <col min="1030" max="1032" width="20.28515625" style="6" bestFit="1" customWidth="1"/>
    <col min="1033" max="1282" width="9.140625" style="6"/>
    <col min="1283" max="1283" width="7" style="6" bestFit="1" customWidth="1"/>
    <col min="1284" max="1284" width="9.140625" style="6"/>
    <col min="1285" max="1285" width="41.28515625" style="6" bestFit="1" customWidth="1"/>
    <col min="1286" max="1288" width="20.28515625" style="6" bestFit="1" customWidth="1"/>
    <col min="1289" max="1538" width="9.140625" style="6"/>
    <col min="1539" max="1539" width="7" style="6" bestFit="1" customWidth="1"/>
    <col min="1540" max="1540" width="9.140625" style="6"/>
    <col min="1541" max="1541" width="41.28515625" style="6" bestFit="1" customWidth="1"/>
    <col min="1542" max="1544" width="20.28515625" style="6" bestFit="1" customWidth="1"/>
    <col min="1545" max="1794" width="9.140625" style="6"/>
    <col min="1795" max="1795" width="7" style="6" bestFit="1" customWidth="1"/>
    <col min="1796" max="1796" width="9.140625" style="6"/>
    <col min="1797" max="1797" width="41.28515625" style="6" bestFit="1" customWidth="1"/>
    <col min="1798" max="1800" width="20.28515625" style="6" bestFit="1" customWidth="1"/>
    <col min="1801" max="2050" width="9.140625" style="6"/>
    <col min="2051" max="2051" width="7" style="6" bestFit="1" customWidth="1"/>
    <col min="2052" max="2052" width="9.140625" style="6"/>
    <col min="2053" max="2053" width="41.28515625" style="6" bestFit="1" customWidth="1"/>
    <col min="2054" max="2056" width="20.28515625" style="6" bestFit="1" customWidth="1"/>
    <col min="2057" max="2306" width="9.140625" style="6"/>
    <col min="2307" max="2307" width="7" style="6" bestFit="1" customWidth="1"/>
    <col min="2308" max="2308" width="9.140625" style="6"/>
    <col min="2309" max="2309" width="41.28515625" style="6" bestFit="1" customWidth="1"/>
    <col min="2310" max="2312" width="20.28515625" style="6" bestFit="1" customWidth="1"/>
    <col min="2313" max="2562" width="9.140625" style="6"/>
    <col min="2563" max="2563" width="7" style="6" bestFit="1" customWidth="1"/>
    <col min="2564" max="2564" width="9.140625" style="6"/>
    <col min="2565" max="2565" width="41.28515625" style="6" bestFit="1" customWidth="1"/>
    <col min="2566" max="2568" width="20.28515625" style="6" bestFit="1" customWidth="1"/>
    <col min="2569" max="2818" width="9.140625" style="6"/>
    <col min="2819" max="2819" width="7" style="6" bestFit="1" customWidth="1"/>
    <col min="2820" max="2820" width="9.140625" style="6"/>
    <col min="2821" max="2821" width="41.28515625" style="6" bestFit="1" customWidth="1"/>
    <col min="2822" max="2824" width="20.28515625" style="6" bestFit="1" customWidth="1"/>
    <col min="2825" max="3074" width="9.140625" style="6"/>
    <col min="3075" max="3075" width="7" style="6" bestFit="1" customWidth="1"/>
    <col min="3076" max="3076" width="9.140625" style="6"/>
    <col min="3077" max="3077" width="41.28515625" style="6" bestFit="1" customWidth="1"/>
    <col min="3078" max="3080" width="20.28515625" style="6" bestFit="1" customWidth="1"/>
    <col min="3081" max="3330" width="9.140625" style="6"/>
    <col min="3331" max="3331" width="7" style="6" bestFit="1" customWidth="1"/>
    <col min="3332" max="3332" width="9.140625" style="6"/>
    <col min="3333" max="3333" width="41.28515625" style="6" bestFit="1" customWidth="1"/>
    <col min="3334" max="3336" width="20.28515625" style="6" bestFit="1" customWidth="1"/>
    <col min="3337" max="3586" width="9.140625" style="6"/>
    <col min="3587" max="3587" width="7" style="6" bestFit="1" customWidth="1"/>
    <col min="3588" max="3588" width="9.140625" style="6"/>
    <col min="3589" max="3589" width="41.28515625" style="6" bestFit="1" customWidth="1"/>
    <col min="3590" max="3592" width="20.28515625" style="6" bestFit="1" customWidth="1"/>
    <col min="3593" max="3842" width="9.140625" style="6"/>
    <col min="3843" max="3843" width="7" style="6" bestFit="1" customWidth="1"/>
    <col min="3844" max="3844" width="9.140625" style="6"/>
    <col min="3845" max="3845" width="41.28515625" style="6" bestFit="1" customWidth="1"/>
    <col min="3846" max="3848" width="20.28515625" style="6" bestFit="1" customWidth="1"/>
    <col min="3849" max="4098" width="9.140625" style="6"/>
    <col min="4099" max="4099" width="7" style="6" bestFit="1" customWidth="1"/>
    <col min="4100" max="4100" width="9.140625" style="6"/>
    <col min="4101" max="4101" width="41.28515625" style="6" bestFit="1" customWidth="1"/>
    <col min="4102" max="4104" width="20.28515625" style="6" bestFit="1" customWidth="1"/>
    <col min="4105" max="4354" width="9.140625" style="6"/>
    <col min="4355" max="4355" width="7" style="6" bestFit="1" customWidth="1"/>
    <col min="4356" max="4356" width="9.140625" style="6"/>
    <col min="4357" max="4357" width="41.28515625" style="6" bestFit="1" customWidth="1"/>
    <col min="4358" max="4360" width="20.28515625" style="6" bestFit="1" customWidth="1"/>
    <col min="4361" max="4610" width="9.140625" style="6"/>
    <col min="4611" max="4611" width="7" style="6" bestFit="1" customWidth="1"/>
    <col min="4612" max="4612" width="9.140625" style="6"/>
    <col min="4613" max="4613" width="41.28515625" style="6" bestFit="1" customWidth="1"/>
    <col min="4614" max="4616" width="20.28515625" style="6" bestFit="1" customWidth="1"/>
    <col min="4617" max="4866" width="9.140625" style="6"/>
    <col min="4867" max="4867" width="7" style="6" bestFit="1" customWidth="1"/>
    <col min="4868" max="4868" width="9.140625" style="6"/>
    <col min="4869" max="4869" width="41.28515625" style="6" bestFit="1" customWidth="1"/>
    <col min="4870" max="4872" width="20.28515625" style="6" bestFit="1" customWidth="1"/>
    <col min="4873" max="5122" width="9.140625" style="6"/>
    <col min="5123" max="5123" width="7" style="6" bestFit="1" customWidth="1"/>
    <col min="5124" max="5124" width="9.140625" style="6"/>
    <col min="5125" max="5125" width="41.28515625" style="6" bestFit="1" customWidth="1"/>
    <col min="5126" max="5128" width="20.28515625" style="6" bestFit="1" customWidth="1"/>
    <col min="5129" max="5378" width="9.140625" style="6"/>
    <col min="5379" max="5379" width="7" style="6" bestFit="1" customWidth="1"/>
    <col min="5380" max="5380" width="9.140625" style="6"/>
    <col min="5381" max="5381" width="41.28515625" style="6" bestFit="1" customWidth="1"/>
    <col min="5382" max="5384" width="20.28515625" style="6" bestFit="1" customWidth="1"/>
    <col min="5385" max="5634" width="9.140625" style="6"/>
    <col min="5635" max="5635" width="7" style="6" bestFit="1" customWidth="1"/>
    <col min="5636" max="5636" width="9.140625" style="6"/>
    <col min="5637" max="5637" width="41.28515625" style="6" bestFit="1" customWidth="1"/>
    <col min="5638" max="5640" width="20.28515625" style="6" bestFit="1" customWidth="1"/>
    <col min="5641" max="5890" width="9.140625" style="6"/>
    <col min="5891" max="5891" width="7" style="6" bestFit="1" customWidth="1"/>
    <col min="5892" max="5892" width="9.140625" style="6"/>
    <col min="5893" max="5893" width="41.28515625" style="6" bestFit="1" customWidth="1"/>
    <col min="5894" max="5896" width="20.28515625" style="6" bestFit="1" customWidth="1"/>
    <col min="5897" max="6146" width="9.140625" style="6"/>
    <col min="6147" max="6147" width="7" style="6" bestFit="1" customWidth="1"/>
    <col min="6148" max="6148" width="9.140625" style="6"/>
    <col min="6149" max="6149" width="41.28515625" style="6" bestFit="1" customWidth="1"/>
    <col min="6150" max="6152" width="20.28515625" style="6" bestFit="1" customWidth="1"/>
    <col min="6153" max="6402" width="9.140625" style="6"/>
    <col min="6403" max="6403" width="7" style="6" bestFit="1" customWidth="1"/>
    <col min="6404" max="6404" width="9.140625" style="6"/>
    <col min="6405" max="6405" width="41.28515625" style="6" bestFit="1" customWidth="1"/>
    <col min="6406" max="6408" width="20.28515625" style="6" bestFit="1" customWidth="1"/>
    <col min="6409" max="6658" width="9.140625" style="6"/>
    <col min="6659" max="6659" width="7" style="6" bestFit="1" customWidth="1"/>
    <col min="6660" max="6660" width="9.140625" style="6"/>
    <col min="6661" max="6661" width="41.28515625" style="6" bestFit="1" customWidth="1"/>
    <col min="6662" max="6664" width="20.28515625" style="6" bestFit="1" customWidth="1"/>
    <col min="6665" max="6914" width="9.140625" style="6"/>
    <col min="6915" max="6915" width="7" style="6" bestFit="1" customWidth="1"/>
    <col min="6916" max="6916" width="9.140625" style="6"/>
    <col min="6917" max="6917" width="41.28515625" style="6" bestFit="1" customWidth="1"/>
    <col min="6918" max="6920" width="20.28515625" style="6" bestFit="1" customWidth="1"/>
    <col min="6921" max="7170" width="9.140625" style="6"/>
    <col min="7171" max="7171" width="7" style="6" bestFit="1" customWidth="1"/>
    <col min="7172" max="7172" width="9.140625" style="6"/>
    <col min="7173" max="7173" width="41.28515625" style="6" bestFit="1" customWidth="1"/>
    <col min="7174" max="7176" width="20.28515625" style="6" bestFit="1" customWidth="1"/>
    <col min="7177" max="7426" width="9.140625" style="6"/>
    <col min="7427" max="7427" width="7" style="6" bestFit="1" customWidth="1"/>
    <col min="7428" max="7428" width="9.140625" style="6"/>
    <col min="7429" max="7429" width="41.28515625" style="6" bestFit="1" customWidth="1"/>
    <col min="7430" max="7432" width="20.28515625" style="6" bestFit="1" customWidth="1"/>
    <col min="7433" max="7682" width="9.140625" style="6"/>
    <col min="7683" max="7683" width="7" style="6" bestFit="1" customWidth="1"/>
    <col min="7684" max="7684" width="9.140625" style="6"/>
    <col min="7685" max="7685" width="41.28515625" style="6" bestFit="1" customWidth="1"/>
    <col min="7686" max="7688" width="20.28515625" style="6" bestFit="1" customWidth="1"/>
    <col min="7689" max="7938" width="9.140625" style="6"/>
    <col min="7939" max="7939" width="7" style="6" bestFit="1" customWidth="1"/>
    <col min="7940" max="7940" width="9.140625" style="6"/>
    <col min="7941" max="7941" width="41.28515625" style="6" bestFit="1" customWidth="1"/>
    <col min="7942" max="7944" width="20.28515625" style="6" bestFit="1" customWidth="1"/>
    <col min="7945" max="8194" width="9.140625" style="6"/>
    <col min="8195" max="8195" width="7" style="6" bestFit="1" customWidth="1"/>
    <col min="8196" max="8196" width="9.140625" style="6"/>
    <col min="8197" max="8197" width="41.28515625" style="6" bestFit="1" customWidth="1"/>
    <col min="8198" max="8200" width="20.28515625" style="6" bestFit="1" customWidth="1"/>
    <col min="8201" max="8450" width="9.140625" style="6"/>
    <col min="8451" max="8451" width="7" style="6" bestFit="1" customWidth="1"/>
    <col min="8452" max="8452" width="9.140625" style="6"/>
    <col min="8453" max="8453" width="41.28515625" style="6" bestFit="1" customWidth="1"/>
    <col min="8454" max="8456" width="20.28515625" style="6" bestFit="1" customWidth="1"/>
    <col min="8457" max="8706" width="9.140625" style="6"/>
    <col min="8707" max="8707" width="7" style="6" bestFit="1" customWidth="1"/>
    <col min="8708" max="8708" width="9.140625" style="6"/>
    <col min="8709" max="8709" width="41.28515625" style="6" bestFit="1" customWidth="1"/>
    <col min="8710" max="8712" width="20.28515625" style="6" bestFit="1" customWidth="1"/>
    <col min="8713" max="8962" width="9.140625" style="6"/>
    <col min="8963" max="8963" width="7" style="6" bestFit="1" customWidth="1"/>
    <col min="8964" max="8964" width="9.140625" style="6"/>
    <col min="8965" max="8965" width="41.28515625" style="6" bestFit="1" customWidth="1"/>
    <col min="8966" max="8968" width="20.28515625" style="6" bestFit="1" customWidth="1"/>
    <col min="8969" max="9218" width="9.140625" style="6"/>
    <col min="9219" max="9219" width="7" style="6" bestFit="1" customWidth="1"/>
    <col min="9220" max="9220" width="9.140625" style="6"/>
    <col min="9221" max="9221" width="41.28515625" style="6" bestFit="1" customWidth="1"/>
    <col min="9222" max="9224" width="20.28515625" style="6" bestFit="1" customWidth="1"/>
    <col min="9225" max="9474" width="9.140625" style="6"/>
    <col min="9475" max="9475" width="7" style="6" bestFit="1" customWidth="1"/>
    <col min="9476" max="9476" width="9.140625" style="6"/>
    <col min="9477" max="9477" width="41.28515625" style="6" bestFit="1" customWidth="1"/>
    <col min="9478" max="9480" width="20.28515625" style="6" bestFit="1" customWidth="1"/>
    <col min="9481" max="9730" width="9.140625" style="6"/>
    <col min="9731" max="9731" width="7" style="6" bestFit="1" customWidth="1"/>
    <col min="9732" max="9732" width="9.140625" style="6"/>
    <col min="9733" max="9733" width="41.28515625" style="6" bestFit="1" customWidth="1"/>
    <col min="9734" max="9736" width="20.28515625" style="6" bestFit="1" customWidth="1"/>
    <col min="9737" max="9986" width="9.140625" style="6"/>
    <col min="9987" max="9987" width="7" style="6" bestFit="1" customWidth="1"/>
    <col min="9988" max="9988" width="9.140625" style="6"/>
    <col min="9989" max="9989" width="41.28515625" style="6" bestFit="1" customWidth="1"/>
    <col min="9990" max="9992" width="20.28515625" style="6" bestFit="1" customWidth="1"/>
    <col min="9993" max="10242" width="9.140625" style="6"/>
    <col min="10243" max="10243" width="7" style="6" bestFit="1" customWidth="1"/>
    <col min="10244" max="10244" width="9.140625" style="6"/>
    <col min="10245" max="10245" width="41.28515625" style="6" bestFit="1" customWidth="1"/>
    <col min="10246" max="10248" width="20.28515625" style="6" bestFit="1" customWidth="1"/>
    <col min="10249" max="10498" width="9.140625" style="6"/>
    <col min="10499" max="10499" width="7" style="6" bestFit="1" customWidth="1"/>
    <col min="10500" max="10500" width="9.140625" style="6"/>
    <col min="10501" max="10501" width="41.28515625" style="6" bestFit="1" customWidth="1"/>
    <col min="10502" max="10504" width="20.28515625" style="6" bestFit="1" customWidth="1"/>
    <col min="10505" max="10754" width="9.140625" style="6"/>
    <col min="10755" max="10755" width="7" style="6" bestFit="1" customWidth="1"/>
    <col min="10756" max="10756" width="9.140625" style="6"/>
    <col min="10757" max="10757" width="41.28515625" style="6" bestFit="1" customWidth="1"/>
    <col min="10758" max="10760" width="20.28515625" style="6" bestFit="1" customWidth="1"/>
    <col min="10761" max="11010" width="9.140625" style="6"/>
    <col min="11011" max="11011" width="7" style="6" bestFit="1" customWidth="1"/>
    <col min="11012" max="11012" width="9.140625" style="6"/>
    <col min="11013" max="11013" width="41.28515625" style="6" bestFit="1" customWidth="1"/>
    <col min="11014" max="11016" width="20.28515625" style="6" bestFit="1" customWidth="1"/>
    <col min="11017" max="11266" width="9.140625" style="6"/>
    <col min="11267" max="11267" width="7" style="6" bestFit="1" customWidth="1"/>
    <col min="11268" max="11268" width="9.140625" style="6"/>
    <col min="11269" max="11269" width="41.28515625" style="6" bestFit="1" customWidth="1"/>
    <col min="11270" max="11272" width="20.28515625" style="6" bestFit="1" customWidth="1"/>
    <col min="11273" max="11522" width="9.140625" style="6"/>
    <col min="11523" max="11523" width="7" style="6" bestFit="1" customWidth="1"/>
    <col min="11524" max="11524" width="9.140625" style="6"/>
    <col min="11525" max="11525" width="41.28515625" style="6" bestFit="1" customWidth="1"/>
    <col min="11526" max="11528" width="20.28515625" style="6" bestFit="1" customWidth="1"/>
    <col min="11529" max="11778" width="9.140625" style="6"/>
    <col min="11779" max="11779" width="7" style="6" bestFit="1" customWidth="1"/>
    <col min="11780" max="11780" width="9.140625" style="6"/>
    <col min="11781" max="11781" width="41.28515625" style="6" bestFit="1" customWidth="1"/>
    <col min="11782" max="11784" width="20.28515625" style="6" bestFit="1" customWidth="1"/>
    <col min="11785" max="12034" width="9.140625" style="6"/>
    <col min="12035" max="12035" width="7" style="6" bestFit="1" customWidth="1"/>
    <col min="12036" max="12036" width="9.140625" style="6"/>
    <col min="12037" max="12037" width="41.28515625" style="6" bestFit="1" customWidth="1"/>
    <col min="12038" max="12040" width="20.28515625" style="6" bestFit="1" customWidth="1"/>
    <col min="12041" max="12290" width="9.140625" style="6"/>
    <col min="12291" max="12291" width="7" style="6" bestFit="1" customWidth="1"/>
    <col min="12292" max="12292" width="9.140625" style="6"/>
    <col min="12293" max="12293" width="41.28515625" style="6" bestFit="1" customWidth="1"/>
    <col min="12294" max="12296" width="20.28515625" style="6" bestFit="1" customWidth="1"/>
    <col min="12297" max="12546" width="9.140625" style="6"/>
    <col min="12547" max="12547" width="7" style="6" bestFit="1" customWidth="1"/>
    <col min="12548" max="12548" width="9.140625" style="6"/>
    <col min="12549" max="12549" width="41.28515625" style="6" bestFit="1" customWidth="1"/>
    <col min="12550" max="12552" width="20.28515625" style="6" bestFit="1" customWidth="1"/>
    <col min="12553" max="12802" width="9.140625" style="6"/>
    <col min="12803" max="12803" width="7" style="6" bestFit="1" customWidth="1"/>
    <col min="12804" max="12804" width="9.140625" style="6"/>
    <col min="12805" max="12805" width="41.28515625" style="6" bestFit="1" customWidth="1"/>
    <col min="12806" max="12808" width="20.28515625" style="6" bestFit="1" customWidth="1"/>
    <col min="12809" max="13058" width="9.140625" style="6"/>
    <col min="13059" max="13059" width="7" style="6" bestFit="1" customWidth="1"/>
    <col min="13060" max="13060" width="9.140625" style="6"/>
    <col min="13061" max="13061" width="41.28515625" style="6" bestFit="1" customWidth="1"/>
    <col min="13062" max="13064" width="20.28515625" style="6" bestFit="1" customWidth="1"/>
    <col min="13065" max="13314" width="9.140625" style="6"/>
    <col min="13315" max="13315" width="7" style="6" bestFit="1" customWidth="1"/>
    <col min="13316" max="13316" width="9.140625" style="6"/>
    <col min="13317" max="13317" width="41.28515625" style="6" bestFit="1" customWidth="1"/>
    <col min="13318" max="13320" width="20.28515625" style="6" bestFit="1" customWidth="1"/>
    <col min="13321" max="13570" width="9.140625" style="6"/>
    <col min="13571" max="13571" width="7" style="6" bestFit="1" customWidth="1"/>
    <col min="13572" max="13572" width="9.140625" style="6"/>
    <col min="13573" max="13573" width="41.28515625" style="6" bestFit="1" customWidth="1"/>
    <col min="13574" max="13576" width="20.28515625" style="6" bestFit="1" customWidth="1"/>
    <col min="13577" max="13826" width="9.140625" style="6"/>
    <col min="13827" max="13827" width="7" style="6" bestFit="1" customWidth="1"/>
    <col min="13828" max="13828" width="9.140625" style="6"/>
    <col min="13829" max="13829" width="41.28515625" style="6" bestFit="1" customWidth="1"/>
    <col min="13830" max="13832" width="20.28515625" style="6" bestFit="1" customWidth="1"/>
    <col min="13833" max="14082" width="9.140625" style="6"/>
    <col min="14083" max="14083" width="7" style="6" bestFit="1" customWidth="1"/>
    <col min="14084" max="14084" width="9.140625" style="6"/>
    <col min="14085" max="14085" width="41.28515625" style="6" bestFit="1" customWidth="1"/>
    <col min="14086" max="14088" width="20.28515625" style="6" bestFit="1" customWidth="1"/>
    <col min="14089" max="14338" width="9.140625" style="6"/>
    <col min="14339" max="14339" width="7" style="6" bestFit="1" customWidth="1"/>
    <col min="14340" max="14340" width="9.140625" style="6"/>
    <col min="14341" max="14341" width="41.28515625" style="6" bestFit="1" customWidth="1"/>
    <col min="14342" max="14344" width="20.28515625" style="6" bestFit="1" customWidth="1"/>
    <col min="14345" max="14594" width="9.140625" style="6"/>
    <col min="14595" max="14595" width="7" style="6" bestFit="1" customWidth="1"/>
    <col min="14596" max="14596" width="9.140625" style="6"/>
    <col min="14597" max="14597" width="41.28515625" style="6" bestFit="1" customWidth="1"/>
    <col min="14598" max="14600" width="20.28515625" style="6" bestFit="1" customWidth="1"/>
    <col min="14601" max="14850" width="9.140625" style="6"/>
    <col min="14851" max="14851" width="7" style="6" bestFit="1" customWidth="1"/>
    <col min="14852" max="14852" width="9.140625" style="6"/>
    <col min="14853" max="14853" width="41.28515625" style="6" bestFit="1" customWidth="1"/>
    <col min="14854" max="14856" width="20.28515625" style="6" bestFit="1" customWidth="1"/>
    <col min="14857" max="15106" width="9.140625" style="6"/>
    <col min="15107" max="15107" width="7" style="6" bestFit="1" customWidth="1"/>
    <col min="15108" max="15108" width="9.140625" style="6"/>
    <col min="15109" max="15109" width="41.28515625" style="6" bestFit="1" customWidth="1"/>
    <col min="15110" max="15112" width="20.28515625" style="6" bestFit="1" customWidth="1"/>
    <col min="15113" max="15362" width="9.140625" style="6"/>
    <col min="15363" max="15363" width="7" style="6" bestFit="1" customWidth="1"/>
    <col min="15364" max="15364" width="9.140625" style="6"/>
    <col min="15365" max="15365" width="41.28515625" style="6" bestFit="1" customWidth="1"/>
    <col min="15366" max="15368" width="20.28515625" style="6" bestFit="1" customWidth="1"/>
    <col min="15369" max="15618" width="9.140625" style="6"/>
    <col min="15619" max="15619" width="7" style="6" bestFit="1" customWidth="1"/>
    <col min="15620" max="15620" width="9.140625" style="6"/>
    <col min="15621" max="15621" width="41.28515625" style="6" bestFit="1" customWidth="1"/>
    <col min="15622" max="15624" width="20.28515625" style="6" bestFit="1" customWidth="1"/>
    <col min="15625" max="15874" width="9.140625" style="6"/>
    <col min="15875" max="15875" width="7" style="6" bestFit="1" customWidth="1"/>
    <col min="15876" max="15876" width="9.140625" style="6"/>
    <col min="15877" max="15877" width="41.28515625" style="6" bestFit="1" customWidth="1"/>
    <col min="15878" max="15880" width="20.28515625" style="6" bestFit="1" customWidth="1"/>
    <col min="15881" max="16130" width="9.140625" style="6"/>
    <col min="16131" max="16131" width="7" style="6" bestFit="1" customWidth="1"/>
    <col min="16132" max="16132" width="9.140625" style="6"/>
    <col min="16133" max="16133" width="41.28515625" style="6" bestFit="1" customWidth="1"/>
    <col min="16134" max="16136" width="20.28515625" style="6" bestFit="1" customWidth="1"/>
    <col min="16137" max="16384" width="9.140625" style="6"/>
  </cols>
  <sheetData>
    <row r="2" spans="1:12" ht="15.75" customHeight="1" x14ac:dyDescent="0.25">
      <c r="A2" s="570" t="s">
        <v>0</v>
      </c>
      <c r="B2" s="570"/>
      <c r="C2" s="570"/>
      <c r="D2" s="570"/>
      <c r="E2" s="570"/>
      <c r="F2" s="570"/>
      <c r="G2" s="570"/>
      <c r="H2" s="570"/>
    </row>
    <row r="3" spans="1:12" ht="15.75" customHeight="1" x14ac:dyDescent="0.25">
      <c r="A3" s="29"/>
      <c r="B3" s="29"/>
      <c r="C3" s="29"/>
      <c r="D3" s="29"/>
      <c r="E3" s="29"/>
      <c r="F3" s="29"/>
      <c r="G3" s="29"/>
      <c r="H3" s="29"/>
    </row>
    <row r="4" spans="1:12" ht="15.75" customHeight="1" x14ac:dyDescent="0.25">
      <c r="A4" s="570" t="s">
        <v>1</v>
      </c>
      <c r="B4" s="570"/>
      <c r="C4" s="570"/>
      <c r="D4" s="570"/>
      <c r="E4" s="570"/>
      <c r="F4" s="570"/>
      <c r="G4" s="570"/>
      <c r="H4" s="570"/>
    </row>
    <row r="5" spans="1:12" x14ac:dyDescent="0.25">
      <c r="A5" s="33"/>
      <c r="B5" s="33"/>
      <c r="C5" s="33"/>
      <c r="D5" s="33"/>
      <c r="E5" s="33"/>
      <c r="F5" s="33"/>
      <c r="G5" s="33"/>
      <c r="H5" s="33"/>
    </row>
    <row r="6" spans="1:12" x14ac:dyDescent="0.25">
      <c r="A6" s="571" t="s">
        <v>239</v>
      </c>
      <c r="B6" s="571"/>
      <c r="C6" s="571"/>
      <c r="D6" s="571"/>
      <c r="E6" s="571"/>
      <c r="F6" s="571"/>
      <c r="G6" s="571"/>
      <c r="H6" s="571"/>
    </row>
    <row r="7" spans="1:12" x14ac:dyDescent="0.25">
      <c r="A7" s="34"/>
      <c r="B7" s="572"/>
      <c r="C7" s="572"/>
      <c r="D7" s="572"/>
      <c r="E7" s="572"/>
      <c r="F7" s="572"/>
      <c r="G7" s="572"/>
      <c r="H7" s="572"/>
    </row>
    <row r="8" spans="1:12" x14ac:dyDescent="0.25">
      <c r="A8" s="573" t="s">
        <v>2</v>
      </c>
      <c r="B8" s="574"/>
      <c r="C8" s="574"/>
      <c r="D8" s="574"/>
      <c r="E8" s="574"/>
      <c r="F8" s="574"/>
      <c r="G8" s="574"/>
      <c r="H8" s="574"/>
    </row>
    <row r="9" spans="1:12" ht="73.5" customHeight="1" x14ac:dyDescent="0.25">
      <c r="A9" s="30" t="s">
        <v>3</v>
      </c>
      <c r="B9" s="30" t="s">
        <v>4</v>
      </c>
      <c r="C9" s="35" t="s">
        <v>6</v>
      </c>
      <c r="D9" s="30" t="s">
        <v>567</v>
      </c>
      <c r="E9" s="30" t="s">
        <v>571</v>
      </c>
      <c r="F9" s="30" t="s">
        <v>569</v>
      </c>
      <c r="G9" s="31" t="s">
        <v>570</v>
      </c>
      <c r="H9" s="31" t="s">
        <v>568</v>
      </c>
    </row>
    <row r="10" spans="1:12" x14ac:dyDescent="0.25">
      <c r="A10" s="36">
        <v>6</v>
      </c>
      <c r="B10" s="37"/>
      <c r="C10" s="538" t="s">
        <v>7</v>
      </c>
      <c r="D10" s="38">
        <f>D11+D32+D39+D45+D55+D64</f>
        <v>5100997.3</v>
      </c>
      <c r="E10" s="38">
        <f>E11+E32+E39+E45+E55+E64</f>
        <v>5178157.92</v>
      </c>
      <c r="F10" s="38">
        <f>F11+F32+F39+F45+F55+F64</f>
        <v>5420091.0800000001</v>
      </c>
      <c r="G10" s="38">
        <f>G11+G32+G39+G45+G55+G64</f>
        <v>5902923.1899999995</v>
      </c>
      <c r="H10" s="38">
        <f>H11+H32+H39+H45+H55+H64</f>
        <v>6174587.6400000006</v>
      </c>
    </row>
    <row r="11" spans="1:12" x14ac:dyDescent="0.25">
      <c r="A11" s="39"/>
      <c r="B11" s="40">
        <v>63</v>
      </c>
      <c r="C11" s="41" t="s">
        <v>41</v>
      </c>
      <c r="D11" s="42">
        <f>D12+D14+D18+D21+D26+D30</f>
        <v>331632.40000000002</v>
      </c>
      <c r="E11" s="42">
        <f t="shared" ref="E11:H11" si="0">E12+E14+E18+E21+E26+E30</f>
        <v>412013.94999999995</v>
      </c>
      <c r="F11" s="42">
        <f t="shared" si="0"/>
        <v>231423.83000000002</v>
      </c>
      <c r="G11" s="42">
        <f t="shared" si="0"/>
        <v>171724.49</v>
      </c>
      <c r="H11" s="42">
        <f t="shared" si="0"/>
        <v>171724.49</v>
      </c>
      <c r="J11" s="43" t="s">
        <v>240</v>
      </c>
      <c r="L11" s="44"/>
    </row>
    <row r="12" spans="1:12" ht="31.5" x14ac:dyDescent="0.25">
      <c r="A12" s="39"/>
      <c r="B12" s="45">
        <v>632</v>
      </c>
      <c r="C12" s="46" t="s">
        <v>241</v>
      </c>
      <c r="D12" s="47">
        <f t="shared" ref="D12:H12" si="1">SUM(D13)</f>
        <v>0</v>
      </c>
      <c r="E12" s="47">
        <f t="shared" si="1"/>
        <v>0</v>
      </c>
      <c r="F12" s="47">
        <f t="shared" si="1"/>
        <v>0</v>
      </c>
      <c r="G12" s="47">
        <f t="shared" si="1"/>
        <v>0</v>
      </c>
      <c r="H12" s="47">
        <f t="shared" si="1"/>
        <v>0</v>
      </c>
    </row>
    <row r="13" spans="1:12" x14ac:dyDescent="0.25">
      <c r="A13" s="39"/>
      <c r="B13" s="48">
        <v>6324</v>
      </c>
      <c r="C13" s="49" t="s">
        <v>242</v>
      </c>
      <c r="D13" s="50">
        <v>0</v>
      </c>
      <c r="E13" s="50">
        <v>0</v>
      </c>
      <c r="F13" s="50">
        <v>0</v>
      </c>
      <c r="G13" s="50">
        <v>0</v>
      </c>
      <c r="H13" s="50">
        <v>0</v>
      </c>
    </row>
    <row r="14" spans="1:12" x14ac:dyDescent="0.25">
      <c r="A14" s="39"/>
      <c r="B14" s="45">
        <v>633</v>
      </c>
      <c r="C14" s="51" t="s">
        <v>243</v>
      </c>
      <c r="D14" s="47">
        <f>SUM(D15,D17)</f>
        <v>799.5</v>
      </c>
      <c r="E14" s="47">
        <f t="shared" ref="E14:H14" si="2">SUM(E15,E17)</f>
        <v>0</v>
      </c>
      <c r="F14" s="47">
        <f t="shared" si="2"/>
        <v>500</v>
      </c>
      <c r="G14" s="47">
        <f t="shared" si="2"/>
        <v>500</v>
      </c>
      <c r="H14" s="47">
        <f t="shared" si="2"/>
        <v>500</v>
      </c>
      <c r="J14" s="32" t="s">
        <v>244</v>
      </c>
    </row>
    <row r="15" spans="1:12" x14ac:dyDescent="0.25">
      <c r="A15" s="39"/>
      <c r="B15" s="39">
        <v>6331</v>
      </c>
      <c r="C15" s="52" t="s">
        <v>245</v>
      </c>
      <c r="D15" s="50">
        <f>D16</f>
        <v>799.5</v>
      </c>
      <c r="E15" s="50">
        <f t="shared" ref="E15:H15" si="3">E16</f>
        <v>0</v>
      </c>
      <c r="F15" s="50">
        <f t="shared" si="3"/>
        <v>500</v>
      </c>
      <c r="G15" s="50">
        <f t="shared" si="3"/>
        <v>500</v>
      </c>
      <c r="H15" s="50">
        <f t="shared" si="3"/>
        <v>500</v>
      </c>
      <c r="J15" s="43" t="s">
        <v>246</v>
      </c>
    </row>
    <row r="16" spans="1:12" x14ac:dyDescent="0.25">
      <c r="A16" s="55"/>
      <c r="B16" s="55">
        <v>63313</v>
      </c>
      <c r="C16" s="62" t="s">
        <v>589</v>
      </c>
      <c r="D16" s="50">
        <f>'Prihodi po ek klas i izvorima'!E57</f>
        <v>799.5</v>
      </c>
      <c r="E16" s="50">
        <f>'Prihodi po ek klas i izvorima'!F57</f>
        <v>0</v>
      </c>
      <c r="F16" s="50">
        <f>'Prihodi po ek klas i izvorima'!G57</f>
        <v>500</v>
      </c>
      <c r="G16" s="50">
        <f>'Prihodi po ek klas i izvorima'!H57</f>
        <v>500</v>
      </c>
      <c r="H16" s="50">
        <f>'Prihodi po ek klas i izvorima'!I57</f>
        <v>500</v>
      </c>
    </row>
    <row r="17" spans="1:8" x14ac:dyDescent="0.25">
      <c r="A17" s="39"/>
      <c r="B17" s="39">
        <v>6332</v>
      </c>
      <c r="C17" s="52" t="s">
        <v>247</v>
      </c>
      <c r="D17" s="50">
        <v>0</v>
      </c>
      <c r="E17" s="50">
        <v>0</v>
      </c>
      <c r="F17" s="50">
        <v>0</v>
      </c>
      <c r="G17" s="50">
        <v>0</v>
      </c>
      <c r="H17" s="50">
        <v>0</v>
      </c>
    </row>
    <row r="18" spans="1:8" s="54" customFormat="1" x14ac:dyDescent="0.25">
      <c r="A18" s="39"/>
      <c r="B18" s="39">
        <v>634</v>
      </c>
      <c r="C18" s="52" t="s">
        <v>24</v>
      </c>
      <c r="D18" s="53">
        <f t="shared" ref="D18:E18" si="4">SUM(D19)</f>
        <v>0</v>
      </c>
      <c r="E18" s="53">
        <f t="shared" si="4"/>
        <v>68314.61</v>
      </c>
      <c r="F18" s="53">
        <f>SUM(F19)</f>
        <v>68314.61</v>
      </c>
      <c r="G18" s="53">
        <f t="shared" ref="G18:H18" si="5">SUM(G19)</f>
        <v>68314.61</v>
      </c>
      <c r="H18" s="53">
        <f t="shared" si="5"/>
        <v>68314.61</v>
      </c>
    </row>
    <row r="19" spans="1:8" s="54" customFormat="1" x14ac:dyDescent="0.25">
      <c r="A19" s="39"/>
      <c r="B19" s="39">
        <v>6341</v>
      </c>
      <c r="C19" s="52" t="s">
        <v>248</v>
      </c>
      <c r="D19" s="53">
        <f t="shared" ref="D19:E19" si="6">D20</f>
        <v>0</v>
      </c>
      <c r="E19" s="53">
        <f t="shared" si="6"/>
        <v>68314.61</v>
      </c>
      <c r="F19" s="53">
        <f>F20</f>
        <v>68314.61</v>
      </c>
      <c r="G19" s="53">
        <f t="shared" ref="G19:H19" si="7">G20</f>
        <v>68314.61</v>
      </c>
      <c r="H19" s="53">
        <f t="shared" si="7"/>
        <v>68314.61</v>
      </c>
    </row>
    <row r="20" spans="1:8" ht="15.75" customHeight="1" x14ac:dyDescent="0.25">
      <c r="A20" s="39"/>
      <c r="B20" s="55">
        <v>63414</v>
      </c>
      <c r="C20" s="56" t="s">
        <v>248</v>
      </c>
      <c r="D20" s="50">
        <f>'Prihodi po ek klas i izvorima'!E61</f>
        <v>0</v>
      </c>
      <c r="E20" s="50">
        <f>'Prihodi po ek klas i izvorima'!F61</f>
        <v>68314.61</v>
      </c>
      <c r="F20" s="50">
        <f>'Prihodi po ek klas i izvorima'!G61</f>
        <v>68314.61</v>
      </c>
      <c r="G20" s="50">
        <f>'Prihodi po ek klas i izvorima'!H61</f>
        <v>68314.61</v>
      </c>
      <c r="H20" s="50">
        <f>'Prihodi po ek klas i izvorima'!I61</f>
        <v>68314.61</v>
      </c>
    </row>
    <row r="21" spans="1:8" ht="31.5" x14ac:dyDescent="0.25">
      <c r="A21" s="39"/>
      <c r="B21" s="39">
        <v>636</v>
      </c>
      <c r="C21" s="57" t="s">
        <v>249</v>
      </c>
      <c r="D21" s="53">
        <f>SUM(D22,D24)</f>
        <v>299750</v>
      </c>
      <c r="E21" s="53">
        <f t="shared" ref="E21:H21" si="8">SUM(E22,E24)</f>
        <v>298000</v>
      </c>
      <c r="F21" s="53">
        <f t="shared" si="8"/>
        <v>14000</v>
      </c>
      <c r="G21" s="53">
        <f t="shared" si="8"/>
        <v>0</v>
      </c>
      <c r="H21" s="53">
        <f t="shared" si="8"/>
        <v>0</v>
      </c>
    </row>
    <row r="22" spans="1:8" ht="31.5" x14ac:dyDescent="0.25">
      <c r="A22" s="39"/>
      <c r="B22" s="39">
        <v>6361</v>
      </c>
      <c r="C22" s="57" t="s">
        <v>250</v>
      </c>
      <c r="D22" s="53">
        <f t="shared" ref="D22:H22" si="9">D23</f>
        <v>14000</v>
      </c>
      <c r="E22" s="53">
        <f t="shared" si="9"/>
        <v>14000</v>
      </c>
      <c r="F22" s="53">
        <f t="shared" si="9"/>
        <v>14000</v>
      </c>
      <c r="G22" s="53">
        <f t="shared" si="9"/>
        <v>0</v>
      </c>
      <c r="H22" s="53">
        <f t="shared" si="9"/>
        <v>0</v>
      </c>
    </row>
    <row r="23" spans="1:8" ht="31.5" x14ac:dyDescent="0.25">
      <c r="A23" s="39"/>
      <c r="B23" s="55">
        <v>63612</v>
      </c>
      <c r="C23" s="58" t="s">
        <v>250</v>
      </c>
      <c r="D23" s="50">
        <f>'Prihodi po ek klas i izvorima'!E64</f>
        <v>14000</v>
      </c>
      <c r="E23" s="50">
        <f>'Prihodi po ek klas i izvorima'!F64</f>
        <v>14000</v>
      </c>
      <c r="F23" s="50">
        <f>'Prihodi po ek klas i izvorima'!G64</f>
        <v>14000</v>
      </c>
      <c r="G23" s="50">
        <f>'Prihodi po ek klas i izvorima'!H64</f>
        <v>0</v>
      </c>
      <c r="H23" s="50">
        <f>'Prihodi po ek klas i izvorima'!I64</f>
        <v>0</v>
      </c>
    </row>
    <row r="24" spans="1:8" ht="31.5" x14ac:dyDescent="0.25">
      <c r="A24" s="39"/>
      <c r="B24" s="39">
        <v>6362</v>
      </c>
      <c r="C24" s="57" t="s">
        <v>593</v>
      </c>
      <c r="D24" s="53">
        <f>D25</f>
        <v>285750</v>
      </c>
      <c r="E24" s="53">
        <f t="shared" ref="E24:H24" si="10">E25</f>
        <v>284000</v>
      </c>
      <c r="F24" s="53">
        <f t="shared" si="10"/>
        <v>0</v>
      </c>
      <c r="G24" s="53">
        <f t="shared" si="10"/>
        <v>0</v>
      </c>
      <c r="H24" s="53">
        <f t="shared" si="10"/>
        <v>0</v>
      </c>
    </row>
    <row r="25" spans="1:8" ht="31.5" x14ac:dyDescent="0.25">
      <c r="A25" s="39"/>
      <c r="B25" s="55">
        <v>63622</v>
      </c>
      <c r="C25" s="58" t="s">
        <v>593</v>
      </c>
      <c r="D25" s="50">
        <f>'Prihodi po ek klas i izvorima'!E66</f>
        <v>285750</v>
      </c>
      <c r="E25" s="50">
        <f>'Prihodi po ek klas i izvorima'!F66</f>
        <v>284000</v>
      </c>
      <c r="F25" s="50">
        <f>'Prihodi po ek klas i izvorima'!G66</f>
        <v>0</v>
      </c>
      <c r="G25" s="50">
        <f>'Prihodi po ek klas i izvorima'!H66</f>
        <v>0</v>
      </c>
      <c r="H25" s="50">
        <f>'Prihodi po ek klas i izvorima'!I66</f>
        <v>0</v>
      </c>
    </row>
    <row r="26" spans="1:8" s="54" customFormat="1" x14ac:dyDescent="0.25">
      <c r="A26" s="39"/>
      <c r="B26" s="39">
        <v>638</v>
      </c>
      <c r="C26" s="57" t="s">
        <v>251</v>
      </c>
      <c r="D26" s="53">
        <f t="shared" ref="D26:E26" si="11">D27+D29</f>
        <v>31082.9</v>
      </c>
      <c r="E26" s="53">
        <f t="shared" si="11"/>
        <v>45699.34</v>
      </c>
      <c r="F26" s="53">
        <f>F27+F29</f>
        <v>148609.22</v>
      </c>
      <c r="G26" s="53">
        <f t="shared" ref="G26:H26" si="12">G27+G29</f>
        <v>102909.88</v>
      </c>
      <c r="H26" s="53">
        <f t="shared" si="12"/>
        <v>102909.88</v>
      </c>
    </row>
    <row r="27" spans="1:8" s="54" customFormat="1" ht="15.75" customHeight="1" x14ac:dyDescent="0.25">
      <c r="A27" s="39"/>
      <c r="B27" s="39">
        <v>6381</v>
      </c>
      <c r="C27" s="57" t="s">
        <v>34</v>
      </c>
      <c r="D27" s="53">
        <f t="shared" ref="D27:E27" si="13">SUM(D28)</f>
        <v>31082.9</v>
      </c>
      <c r="E27" s="53">
        <f t="shared" si="13"/>
        <v>45699.34</v>
      </c>
      <c r="F27" s="53">
        <f>SUM(F28)</f>
        <v>148609.22</v>
      </c>
      <c r="G27" s="53">
        <f t="shared" ref="G27:H27" si="14">SUM(G28)</f>
        <v>102909.88</v>
      </c>
      <c r="H27" s="53">
        <f t="shared" si="14"/>
        <v>102909.88</v>
      </c>
    </row>
    <row r="28" spans="1:8" ht="15.75" customHeight="1" x14ac:dyDescent="0.25">
      <c r="A28" s="55"/>
      <c r="B28" s="55">
        <v>63814</v>
      </c>
      <c r="C28" s="58" t="s">
        <v>34</v>
      </c>
      <c r="D28" s="50">
        <f>'Prihodi po ek klas i izvorima'!E69</f>
        <v>31082.9</v>
      </c>
      <c r="E28" s="50">
        <f>'Prihodi po ek klas i izvorima'!F69</f>
        <v>45699.34</v>
      </c>
      <c r="F28" s="50">
        <f>'Prihodi po ek klas i izvorima'!G69</f>
        <v>148609.22</v>
      </c>
      <c r="G28" s="50">
        <f>'Prihodi po ek klas i izvorima'!H69</f>
        <v>102909.88</v>
      </c>
      <c r="H28" s="50">
        <f>'Prihodi po ek klas i izvorima'!I69</f>
        <v>102909.88</v>
      </c>
    </row>
    <row r="29" spans="1:8" s="54" customFormat="1" x14ac:dyDescent="0.25">
      <c r="A29" s="39"/>
      <c r="B29" s="39">
        <v>6382</v>
      </c>
      <c r="C29" s="57" t="s">
        <v>252</v>
      </c>
      <c r="D29" s="53">
        <v>0</v>
      </c>
      <c r="E29" s="53">
        <v>0</v>
      </c>
      <c r="F29" s="53">
        <v>0</v>
      </c>
      <c r="G29" s="53">
        <v>0</v>
      </c>
      <c r="H29" s="53">
        <v>0</v>
      </c>
    </row>
    <row r="30" spans="1:8" x14ac:dyDescent="0.25">
      <c r="A30" s="39"/>
      <c r="B30" s="39">
        <v>639</v>
      </c>
      <c r="C30" s="57" t="s">
        <v>253</v>
      </c>
      <c r="D30" s="53">
        <f t="shared" ref="D30:E30" si="15">SUM(D31)</f>
        <v>0</v>
      </c>
      <c r="E30" s="53">
        <f t="shared" si="15"/>
        <v>0</v>
      </c>
      <c r="F30" s="53">
        <f>SUM(F31)</f>
        <v>0</v>
      </c>
      <c r="G30" s="53">
        <f>SUM(G31)</f>
        <v>0</v>
      </c>
      <c r="H30" s="53">
        <f>SUM(H31)</f>
        <v>0</v>
      </c>
    </row>
    <row r="31" spans="1:8" s="54" customFormat="1" ht="15.75" customHeight="1" x14ac:dyDescent="0.25">
      <c r="A31" s="39"/>
      <c r="B31" s="39">
        <v>6391</v>
      </c>
      <c r="C31" s="57" t="s">
        <v>254</v>
      </c>
      <c r="D31" s="53">
        <v>0</v>
      </c>
      <c r="E31" s="53">
        <v>0</v>
      </c>
      <c r="F31" s="53">
        <v>0</v>
      </c>
      <c r="G31" s="53">
        <v>0</v>
      </c>
      <c r="H31" s="53">
        <v>0</v>
      </c>
    </row>
    <row r="32" spans="1:8" x14ac:dyDescent="0.25">
      <c r="A32" s="39"/>
      <c r="B32" s="59">
        <v>64</v>
      </c>
      <c r="C32" s="60" t="s">
        <v>42</v>
      </c>
      <c r="D32" s="61">
        <f>D33+D35+D37+D38</f>
        <v>40.760000000000005</v>
      </c>
      <c r="E32" s="61">
        <f t="shared" ref="E32:H32" si="16">E33+E35+E37+E38</f>
        <v>200</v>
      </c>
      <c r="F32" s="61">
        <f t="shared" si="16"/>
        <v>200</v>
      </c>
      <c r="G32" s="61">
        <f t="shared" si="16"/>
        <v>200</v>
      </c>
      <c r="H32" s="61">
        <f t="shared" si="16"/>
        <v>200</v>
      </c>
    </row>
    <row r="33" spans="1:8" x14ac:dyDescent="0.25">
      <c r="A33" s="39"/>
      <c r="B33" s="39">
        <v>6413</v>
      </c>
      <c r="C33" s="52" t="s">
        <v>255</v>
      </c>
      <c r="D33" s="53">
        <f t="shared" ref="D33:E33" si="17">SUM(D34)</f>
        <v>24.01</v>
      </c>
      <c r="E33" s="53">
        <f t="shared" si="17"/>
        <v>200</v>
      </c>
      <c r="F33" s="53">
        <f>SUM(F34)</f>
        <v>150</v>
      </c>
      <c r="G33" s="53">
        <f t="shared" ref="G33:H33" si="18">SUM(G34)</f>
        <v>150</v>
      </c>
      <c r="H33" s="53">
        <f t="shared" si="18"/>
        <v>150</v>
      </c>
    </row>
    <row r="34" spans="1:8" x14ac:dyDescent="0.25">
      <c r="A34" s="39"/>
      <c r="B34" s="55">
        <v>64132</v>
      </c>
      <c r="C34" s="62" t="s">
        <v>255</v>
      </c>
      <c r="D34" s="50">
        <f>'Prihodi po ek klas i izvorima'!E19</f>
        <v>24.01</v>
      </c>
      <c r="E34" s="50">
        <f>'Prihodi po ek klas i izvorima'!F19</f>
        <v>200</v>
      </c>
      <c r="F34" s="50">
        <f>'Prihodi po ek klas i izvorima'!G19</f>
        <v>150</v>
      </c>
      <c r="G34" s="50">
        <f>'Prihodi po ek klas i izvorima'!H19</f>
        <v>150</v>
      </c>
      <c r="H34" s="50">
        <f>'Prihodi po ek klas i izvorima'!I19</f>
        <v>150</v>
      </c>
    </row>
    <row r="35" spans="1:8" s="43" customFormat="1" x14ac:dyDescent="0.25">
      <c r="A35" s="39"/>
      <c r="B35" s="39">
        <v>6414</v>
      </c>
      <c r="C35" s="52" t="s">
        <v>585</v>
      </c>
      <c r="D35" s="53">
        <f>D36</f>
        <v>16.75</v>
      </c>
      <c r="E35" s="53">
        <f t="shared" ref="E35:H35" si="19">E36</f>
        <v>0</v>
      </c>
      <c r="F35" s="53">
        <f t="shared" si="19"/>
        <v>50</v>
      </c>
      <c r="G35" s="53">
        <f t="shared" si="19"/>
        <v>50</v>
      </c>
      <c r="H35" s="53">
        <f t="shared" si="19"/>
        <v>50</v>
      </c>
    </row>
    <row r="36" spans="1:8" x14ac:dyDescent="0.25">
      <c r="A36" s="39"/>
      <c r="B36" s="55">
        <v>64143</v>
      </c>
      <c r="C36" s="62" t="s">
        <v>585</v>
      </c>
      <c r="D36" s="50">
        <f>'Prihodi po ek klas i izvorima'!E21</f>
        <v>16.75</v>
      </c>
      <c r="E36" s="50">
        <f>'Prihodi po ek klas i izvorima'!F21</f>
        <v>0</v>
      </c>
      <c r="F36" s="50">
        <f>'Prihodi po ek klas i izvorima'!G21</f>
        <v>50</v>
      </c>
      <c r="G36" s="50">
        <f>'Prihodi po ek klas i izvorima'!H21</f>
        <v>50</v>
      </c>
      <c r="H36" s="50">
        <f>'Prihodi po ek klas i izvorima'!I21</f>
        <v>50</v>
      </c>
    </row>
    <row r="37" spans="1:8" x14ac:dyDescent="0.25">
      <c r="A37" s="39"/>
      <c r="B37" s="39">
        <v>6419</v>
      </c>
      <c r="C37" s="52" t="s">
        <v>256</v>
      </c>
      <c r="D37" s="53"/>
      <c r="E37" s="53"/>
      <c r="F37" s="53"/>
      <c r="G37" s="53"/>
      <c r="H37" s="53"/>
    </row>
    <row r="38" spans="1:8" x14ac:dyDescent="0.25">
      <c r="A38" s="39"/>
      <c r="B38" s="39">
        <v>6429</v>
      </c>
      <c r="C38" s="52" t="s">
        <v>58</v>
      </c>
      <c r="D38" s="53"/>
      <c r="E38" s="53"/>
      <c r="F38" s="53"/>
      <c r="G38" s="53"/>
      <c r="H38" s="53"/>
    </row>
    <row r="39" spans="1:8" x14ac:dyDescent="0.25">
      <c r="A39" s="39"/>
      <c r="B39" s="59">
        <v>65</v>
      </c>
      <c r="C39" s="60" t="s">
        <v>46</v>
      </c>
      <c r="D39" s="61">
        <f t="shared" ref="D39:E39" si="20">D40</f>
        <v>78585.409999999989</v>
      </c>
      <c r="E39" s="61">
        <f t="shared" si="20"/>
        <v>53000</v>
      </c>
      <c r="F39" s="61">
        <f>F40</f>
        <v>64000</v>
      </c>
      <c r="G39" s="61">
        <f>G40</f>
        <v>68150</v>
      </c>
      <c r="H39" s="61">
        <f>H40</f>
        <v>71433</v>
      </c>
    </row>
    <row r="40" spans="1:8" x14ac:dyDescent="0.25">
      <c r="A40" s="39"/>
      <c r="B40" s="39">
        <v>652</v>
      </c>
      <c r="C40" s="52" t="s">
        <v>46</v>
      </c>
      <c r="D40" s="53">
        <f t="shared" ref="D40:E40" si="21">SUM(D41)</f>
        <v>78585.409999999989</v>
      </c>
      <c r="E40" s="53">
        <f t="shared" si="21"/>
        <v>53000</v>
      </c>
      <c r="F40" s="53">
        <f>SUM(F41)</f>
        <v>64000</v>
      </c>
      <c r="G40" s="53">
        <f t="shared" ref="G40:H40" si="22">SUM(G41)</f>
        <v>68150</v>
      </c>
      <c r="H40" s="53">
        <f t="shared" si="22"/>
        <v>71433</v>
      </c>
    </row>
    <row r="41" spans="1:8" x14ac:dyDescent="0.25">
      <c r="A41" s="39"/>
      <c r="B41" s="39">
        <v>6526</v>
      </c>
      <c r="C41" s="52" t="s">
        <v>47</v>
      </c>
      <c r="D41" s="53">
        <f t="shared" ref="D41:E41" si="23">SUM(D42:D44)</f>
        <v>78585.409999999989</v>
      </c>
      <c r="E41" s="53">
        <f t="shared" si="23"/>
        <v>53000</v>
      </c>
      <c r="F41" s="53">
        <f>SUM(F42:F44)</f>
        <v>64000</v>
      </c>
      <c r="G41" s="53">
        <f t="shared" ref="G41:H41" si="24">SUM(G42:G44)</f>
        <v>68150</v>
      </c>
      <c r="H41" s="53">
        <f t="shared" si="24"/>
        <v>71433</v>
      </c>
    </row>
    <row r="42" spans="1:8" x14ac:dyDescent="0.25">
      <c r="A42" s="39"/>
      <c r="B42" s="55">
        <v>65264</v>
      </c>
      <c r="C42" s="62" t="s">
        <v>481</v>
      </c>
      <c r="D42" s="50">
        <f>'Prihodi po ek klas i izvorima'!E40</f>
        <v>51154.92</v>
      </c>
      <c r="E42" s="50">
        <f>'Prihodi po ek klas i izvorima'!F40</f>
        <v>44000</v>
      </c>
      <c r="F42" s="50">
        <f>'Prihodi po ek klas i izvorima'!G40</f>
        <v>55000</v>
      </c>
      <c r="G42" s="50">
        <f>'Prihodi po ek klas i izvorima'!H40</f>
        <v>57500</v>
      </c>
      <c r="H42" s="50">
        <f>'Prihodi po ek klas i izvorima'!I40</f>
        <v>60000</v>
      </c>
    </row>
    <row r="43" spans="1:8" x14ac:dyDescent="0.25">
      <c r="A43" s="39"/>
      <c r="B43" s="55">
        <v>65267</v>
      </c>
      <c r="C43" s="62" t="s">
        <v>482</v>
      </c>
      <c r="D43" s="50">
        <f>'Prihodi po ek klas i izvorima'!E83</f>
        <v>8798.23</v>
      </c>
      <c r="E43" s="50">
        <f>'Prihodi po ek klas i izvorima'!F83</f>
        <v>5500</v>
      </c>
      <c r="F43" s="50">
        <f>'Prihodi po ek klas i izvorima'!G83</f>
        <v>5500</v>
      </c>
      <c r="G43" s="50">
        <f>'Prihodi po ek klas i izvorima'!H83</f>
        <v>5775</v>
      </c>
      <c r="H43" s="50">
        <f>'Prihodi po ek klas i izvorima'!I83</f>
        <v>6064</v>
      </c>
    </row>
    <row r="44" spans="1:8" x14ac:dyDescent="0.25">
      <c r="A44" s="39"/>
      <c r="B44" s="55">
        <v>65269</v>
      </c>
      <c r="C44" s="62" t="s">
        <v>483</v>
      </c>
      <c r="D44" s="50">
        <f>'Prihodi po ek klas i izvorima'!E41</f>
        <v>18632.259999999998</v>
      </c>
      <c r="E44" s="50">
        <f>'Prihodi po ek klas i izvorima'!F41</f>
        <v>3500</v>
      </c>
      <c r="F44" s="50">
        <f>'Prihodi po ek klas i izvorima'!G41</f>
        <v>3500</v>
      </c>
      <c r="G44" s="50">
        <f>'Prihodi po ek klas i izvorima'!H41</f>
        <v>4875</v>
      </c>
      <c r="H44" s="50">
        <f>'Prihodi po ek klas i izvorima'!I41</f>
        <v>5369</v>
      </c>
    </row>
    <row r="45" spans="1:8" x14ac:dyDescent="0.25">
      <c r="A45" s="39"/>
      <c r="B45" s="59">
        <v>66</v>
      </c>
      <c r="C45" s="60" t="s">
        <v>257</v>
      </c>
      <c r="D45" s="61">
        <f t="shared" ref="D45:E45" si="25">D46+D51</f>
        <v>144110.86000000002</v>
      </c>
      <c r="E45" s="61">
        <f t="shared" si="25"/>
        <v>249583.29</v>
      </c>
      <c r="F45" s="61">
        <f>F46+F51</f>
        <v>164116.33000000002</v>
      </c>
      <c r="G45" s="61">
        <f>G46+G51</f>
        <v>164316.33000000002</v>
      </c>
      <c r="H45" s="61">
        <f>H46+H51</f>
        <v>164516.33000000002</v>
      </c>
    </row>
    <row r="46" spans="1:8" ht="15.75" customHeight="1" x14ac:dyDescent="0.25">
      <c r="A46" s="39"/>
      <c r="B46" s="39">
        <v>661</v>
      </c>
      <c r="C46" s="57" t="s">
        <v>258</v>
      </c>
      <c r="D46" s="53">
        <f t="shared" ref="D46:E46" si="26">SUM(D47:D48)</f>
        <v>140153.61000000002</v>
      </c>
      <c r="E46" s="53">
        <f t="shared" si="26"/>
        <v>199083.29</v>
      </c>
      <c r="F46" s="53">
        <f>SUM(F47:F48)</f>
        <v>163116.33000000002</v>
      </c>
      <c r="G46" s="53">
        <f t="shared" ref="G46:H46" si="27">SUM(G47:G48)</f>
        <v>163116.33000000002</v>
      </c>
      <c r="H46" s="53">
        <f t="shared" si="27"/>
        <v>163116.33000000002</v>
      </c>
    </row>
    <row r="47" spans="1:8" x14ac:dyDescent="0.25">
      <c r="A47" s="55"/>
      <c r="B47" s="39">
        <v>6614</v>
      </c>
      <c r="C47" s="57" t="s">
        <v>259</v>
      </c>
      <c r="D47" s="53">
        <f>'Prihodi po ek klas i izvorima'!E26</f>
        <v>0</v>
      </c>
      <c r="E47" s="53">
        <f>'Prihodi po ek klas i izvorima'!F26</f>
        <v>0</v>
      </c>
      <c r="F47" s="53">
        <f>'Prihodi po ek klas i izvorima'!G26</f>
        <v>0</v>
      </c>
      <c r="G47" s="53">
        <f>'Prihodi po ek klas i izvorima'!H26</f>
        <v>0</v>
      </c>
      <c r="H47" s="53">
        <f>'Prihodi po ek klas i izvorima'!I26</f>
        <v>0</v>
      </c>
    </row>
    <row r="48" spans="1:8" x14ac:dyDescent="0.25">
      <c r="A48" s="55"/>
      <c r="B48" s="39">
        <v>6615</v>
      </c>
      <c r="C48" s="57" t="s">
        <v>65</v>
      </c>
      <c r="D48" s="53">
        <f>SUM(D49:D50)</f>
        <v>140153.61000000002</v>
      </c>
      <c r="E48" s="53">
        <f t="shared" ref="E48:H48" si="28">SUM(E49:E50)</f>
        <v>199083.29</v>
      </c>
      <c r="F48" s="53">
        <f t="shared" si="28"/>
        <v>163116.33000000002</v>
      </c>
      <c r="G48" s="53">
        <f t="shared" si="28"/>
        <v>163116.33000000002</v>
      </c>
      <c r="H48" s="53">
        <f t="shared" si="28"/>
        <v>163116.33000000002</v>
      </c>
    </row>
    <row r="49" spans="1:8" x14ac:dyDescent="0.25">
      <c r="A49" s="39"/>
      <c r="B49" s="55">
        <v>66151</v>
      </c>
      <c r="C49" s="62" t="s">
        <v>65</v>
      </c>
      <c r="D49" s="50">
        <f>'Prihodi po ek klas i izvorima'!E28</f>
        <v>139946.23000000001</v>
      </c>
      <c r="E49" s="50">
        <f>'Prihodi po ek klas i izvorima'!F28</f>
        <v>199083.29</v>
      </c>
      <c r="F49" s="50">
        <f>'Prihodi po ek klas i izvorima'!G28</f>
        <v>163116.33000000002</v>
      </c>
      <c r="G49" s="50">
        <f>'Prihodi po ek klas i izvorima'!H28</f>
        <v>163116.33000000002</v>
      </c>
      <c r="H49" s="50">
        <f>'Prihodi po ek klas i izvorima'!I28</f>
        <v>163116.33000000002</v>
      </c>
    </row>
    <row r="50" spans="1:8" x14ac:dyDescent="0.25">
      <c r="A50" s="39"/>
      <c r="B50" s="55">
        <v>66153</v>
      </c>
      <c r="C50" s="62" t="s">
        <v>587</v>
      </c>
      <c r="D50" s="50">
        <f>'Prihodi po ek klas i izvorima'!E29</f>
        <v>207.38</v>
      </c>
      <c r="E50" s="50">
        <f>'Prihodi po ek klas i izvorima'!F29</f>
        <v>0</v>
      </c>
      <c r="F50" s="50">
        <f>'Prihodi po ek klas i izvorima'!G29</f>
        <v>0</v>
      </c>
      <c r="G50" s="50">
        <f>'Prihodi po ek klas i izvorima'!H29</f>
        <v>0</v>
      </c>
      <c r="H50" s="50">
        <f>'Prihodi po ek klas i izvorima'!I29</f>
        <v>0</v>
      </c>
    </row>
    <row r="51" spans="1:8" x14ac:dyDescent="0.25">
      <c r="A51" s="39"/>
      <c r="B51" s="39">
        <v>663</v>
      </c>
      <c r="C51" s="52" t="s">
        <v>260</v>
      </c>
      <c r="D51" s="53">
        <f t="shared" ref="D51:E51" si="29">D52+D54</f>
        <v>3957.25</v>
      </c>
      <c r="E51" s="53">
        <f t="shared" si="29"/>
        <v>50500</v>
      </c>
      <c r="F51" s="53">
        <f>F52+F54</f>
        <v>1000</v>
      </c>
      <c r="G51" s="53">
        <f t="shared" ref="G51:H51" si="30">G52+G54</f>
        <v>1200</v>
      </c>
      <c r="H51" s="53">
        <f t="shared" si="30"/>
        <v>1400</v>
      </c>
    </row>
    <row r="52" spans="1:8" x14ac:dyDescent="0.25">
      <c r="A52" s="39"/>
      <c r="B52" s="39">
        <v>6631</v>
      </c>
      <c r="C52" s="52" t="s">
        <v>69</v>
      </c>
      <c r="D52" s="53">
        <f t="shared" ref="D52:E52" si="31">SUM(D53)</f>
        <v>3957.25</v>
      </c>
      <c r="E52" s="53">
        <f t="shared" si="31"/>
        <v>50500</v>
      </c>
      <c r="F52" s="53">
        <f>SUM(F53)</f>
        <v>1000</v>
      </c>
      <c r="G52" s="53">
        <f t="shared" ref="G52:H52" si="32">SUM(G53)</f>
        <v>1200</v>
      </c>
      <c r="H52" s="53">
        <f t="shared" si="32"/>
        <v>1400</v>
      </c>
    </row>
    <row r="53" spans="1:8" x14ac:dyDescent="0.25">
      <c r="A53" s="39"/>
      <c r="B53" s="55">
        <v>66313</v>
      </c>
      <c r="C53" s="62" t="s">
        <v>69</v>
      </c>
      <c r="D53" s="50">
        <f>'Prihodi po ek klas i izvorima'!E77</f>
        <v>3957.25</v>
      </c>
      <c r="E53" s="50">
        <f>'Prihodi po ek klas i izvorima'!F77</f>
        <v>50500</v>
      </c>
      <c r="F53" s="50">
        <f>'Prihodi po ek klas i izvorima'!G77</f>
        <v>1000</v>
      </c>
      <c r="G53" s="50">
        <f>'Prihodi po ek klas i izvorima'!H77</f>
        <v>1200</v>
      </c>
      <c r="H53" s="50">
        <f>'Prihodi po ek klas i izvorima'!I77</f>
        <v>1400</v>
      </c>
    </row>
    <row r="54" spans="1:8" x14ac:dyDescent="0.25">
      <c r="A54" s="39"/>
      <c r="B54" s="39">
        <v>6632</v>
      </c>
      <c r="C54" s="52" t="s">
        <v>71</v>
      </c>
      <c r="D54" s="50"/>
      <c r="E54" s="50"/>
      <c r="F54" s="50"/>
      <c r="G54" s="50"/>
      <c r="H54" s="50"/>
    </row>
    <row r="55" spans="1:8" x14ac:dyDescent="0.25">
      <c r="A55" s="39"/>
      <c r="B55" s="59">
        <v>67</v>
      </c>
      <c r="C55" s="60" t="s">
        <v>261</v>
      </c>
      <c r="D55" s="61">
        <f t="shared" ref="D55:E55" si="33">SUM(D56,D61)</f>
        <v>4545915.16</v>
      </c>
      <c r="E55" s="61">
        <f t="shared" si="33"/>
        <v>4460360.68</v>
      </c>
      <c r="F55" s="61">
        <f>SUM(F56,F61)</f>
        <v>4957350.92</v>
      </c>
      <c r="G55" s="61">
        <f t="shared" ref="G55:H55" si="34">SUM(G56,G61)</f>
        <v>5495532.3699999992</v>
      </c>
      <c r="H55" s="61">
        <f t="shared" si="34"/>
        <v>5763713.8200000003</v>
      </c>
    </row>
    <row r="56" spans="1:8" ht="31.5" x14ac:dyDescent="0.25">
      <c r="A56" s="39"/>
      <c r="B56" s="63">
        <v>671</v>
      </c>
      <c r="C56" s="345" t="s">
        <v>10</v>
      </c>
      <c r="D56" s="64">
        <f t="shared" ref="D56:E56" si="35">D57+D59</f>
        <v>397160.43000000005</v>
      </c>
      <c r="E56" s="64">
        <f t="shared" si="35"/>
        <v>561264.02</v>
      </c>
      <c r="F56" s="64">
        <f>F57+F59</f>
        <v>358264.02</v>
      </c>
      <c r="G56" s="64">
        <f t="shared" ref="G56:H56" si="36">G57+G59</f>
        <v>358264.02</v>
      </c>
      <c r="H56" s="64">
        <f t="shared" si="36"/>
        <v>358264.02</v>
      </c>
    </row>
    <row r="57" spans="1:8" ht="31.5" x14ac:dyDescent="0.25">
      <c r="A57" s="39"/>
      <c r="B57" s="63">
        <v>6711</v>
      </c>
      <c r="C57" s="345" t="s">
        <v>12</v>
      </c>
      <c r="D57" s="64">
        <f t="shared" ref="D57:E57" si="37">SUM(D58)</f>
        <v>141650.92000000001</v>
      </c>
      <c r="E57" s="64">
        <f t="shared" si="37"/>
        <v>352264.02</v>
      </c>
      <c r="F57" s="64">
        <f>SUM(F58)</f>
        <v>92988.02</v>
      </c>
      <c r="G57" s="64">
        <f t="shared" ref="G57:H57" si="38">SUM(G58)</f>
        <v>92988.02</v>
      </c>
      <c r="H57" s="64">
        <f t="shared" si="38"/>
        <v>92988.02</v>
      </c>
    </row>
    <row r="58" spans="1:8" ht="31.5" x14ac:dyDescent="0.25">
      <c r="A58" s="39"/>
      <c r="B58" s="65">
        <v>67111</v>
      </c>
      <c r="C58" s="346" t="s">
        <v>12</v>
      </c>
      <c r="D58" s="66">
        <f>'Prihodi po ek klas i izvorima'!E12</f>
        <v>141650.92000000001</v>
      </c>
      <c r="E58" s="66">
        <f>'Prihodi po ek klas i izvorima'!F12</f>
        <v>352264.02</v>
      </c>
      <c r="F58" s="66">
        <f>'Prihodi po ek klas i izvorima'!G12</f>
        <v>92988.02</v>
      </c>
      <c r="G58" s="66">
        <f>'Prihodi po ek klas i izvorima'!H12</f>
        <v>92988.02</v>
      </c>
      <c r="H58" s="66">
        <f>'Prihodi po ek klas i izvorima'!I12</f>
        <v>92988.02</v>
      </c>
    </row>
    <row r="59" spans="1:8" ht="31.5" x14ac:dyDescent="0.25">
      <c r="A59" s="39"/>
      <c r="B59" s="63">
        <v>6712</v>
      </c>
      <c r="C59" s="345" t="s">
        <v>14</v>
      </c>
      <c r="D59" s="64">
        <f t="shared" ref="D59:E59" si="39">SUM(D60)</f>
        <v>255509.51</v>
      </c>
      <c r="E59" s="64">
        <f t="shared" si="39"/>
        <v>209000</v>
      </c>
      <c r="F59" s="64">
        <f>SUM(F60)</f>
        <v>265276</v>
      </c>
      <c r="G59" s="64">
        <f t="shared" ref="G59:H59" si="40">SUM(G60)</f>
        <v>265276</v>
      </c>
      <c r="H59" s="64">
        <f t="shared" si="40"/>
        <v>265276</v>
      </c>
    </row>
    <row r="60" spans="1:8" ht="15.75" customHeight="1" x14ac:dyDescent="0.25">
      <c r="A60" s="39"/>
      <c r="B60" s="65">
        <v>67121</v>
      </c>
      <c r="C60" s="346" t="s">
        <v>14</v>
      </c>
      <c r="D60" s="66">
        <f>'Prihodi po ek klas i izvorima'!E14</f>
        <v>255509.51</v>
      </c>
      <c r="E60" s="66">
        <f>'Prihodi po ek klas i izvorima'!F14</f>
        <v>209000</v>
      </c>
      <c r="F60" s="66">
        <f>'Prihodi po ek klas i izvorima'!G14</f>
        <v>265276</v>
      </c>
      <c r="G60" s="66">
        <f>'Prihodi po ek klas i izvorima'!H14</f>
        <v>265276</v>
      </c>
      <c r="H60" s="66">
        <f>'Prihodi po ek klas i izvorima'!I14</f>
        <v>265276</v>
      </c>
    </row>
    <row r="61" spans="1:8" x14ac:dyDescent="0.25">
      <c r="A61" s="39"/>
      <c r="B61" s="39">
        <v>673</v>
      </c>
      <c r="C61" s="52" t="s">
        <v>262</v>
      </c>
      <c r="D61" s="53">
        <f t="shared" ref="D61:E61" si="41">SUM(D62)</f>
        <v>4148754.73</v>
      </c>
      <c r="E61" s="53">
        <f t="shared" si="41"/>
        <v>3899096.66</v>
      </c>
      <c r="F61" s="53">
        <f>SUM(F62)</f>
        <v>4599086.9000000004</v>
      </c>
      <c r="G61" s="53">
        <f t="shared" ref="G61:H61" si="42">SUM(G62)</f>
        <v>5137268.3499999996</v>
      </c>
      <c r="H61" s="53">
        <f t="shared" si="42"/>
        <v>5405449.7999999998</v>
      </c>
    </row>
    <row r="62" spans="1:8" x14ac:dyDescent="0.25">
      <c r="A62" s="39"/>
      <c r="B62" s="39">
        <v>6731</v>
      </c>
      <c r="C62" s="52" t="s">
        <v>49</v>
      </c>
      <c r="D62" s="53">
        <f t="shared" ref="D62:E62" si="43">D63</f>
        <v>4148754.73</v>
      </c>
      <c r="E62" s="53">
        <f t="shared" si="43"/>
        <v>3899096.66</v>
      </c>
      <c r="F62" s="53">
        <f>F63</f>
        <v>4599086.9000000004</v>
      </c>
      <c r="G62" s="53">
        <f t="shared" ref="G62:H62" si="44">G63</f>
        <v>5137268.3499999996</v>
      </c>
      <c r="H62" s="53">
        <f t="shared" si="44"/>
        <v>5405449.7999999998</v>
      </c>
    </row>
    <row r="63" spans="1:8" x14ac:dyDescent="0.25">
      <c r="A63" s="39"/>
      <c r="B63" s="55">
        <v>67311</v>
      </c>
      <c r="C63" s="62" t="s">
        <v>49</v>
      </c>
      <c r="D63" s="50">
        <f>'Prihodi po ek klas i izvorima'!E48</f>
        <v>4148754.73</v>
      </c>
      <c r="E63" s="50">
        <f>'Prihodi po ek klas i izvorima'!F48</f>
        <v>3899096.66</v>
      </c>
      <c r="F63" s="50">
        <f>'Prihodi po ek klas i izvorima'!G48</f>
        <v>4599086.9000000004</v>
      </c>
      <c r="G63" s="50">
        <f>'Prihodi po ek klas i izvorima'!H48</f>
        <v>5137268.3499999996</v>
      </c>
      <c r="H63" s="50">
        <f>'Prihodi po ek klas i izvorima'!I48</f>
        <v>5405449.7999999998</v>
      </c>
    </row>
    <row r="64" spans="1:8" x14ac:dyDescent="0.25">
      <c r="A64" s="39"/>
      <c r="B64" s="59">
        <v>68</v>
      </c>
      <c r="C64" s="67" t="s">
        <v>52</v>
      </c>
      <c r="D64" s="61">
        <f t="shared" ref="D64:H64" si="45">SUM(D65)</f>
        <v>712.71</v>
      </c>
      <c r="E64" s="61">
        <f t="shared" si="45"/>
        <v>3000</v>
      </c>
      <c r="F64" s="61">
        <f t="shared" si="45"/>
        <v>3000</v>
      </c>
      <c r="G64" s="61">
        <f t="shared" si="45"/>
        <v>3000</v>
      </c>
      <c r="H64" s="61">
        <f t="shared" si="45"/>
        <v>3000</v>
      </c>
    </row>
    <row r="65" spans="1:8" x14ac:dyDescent="0.25">
      <c r="A65" s="39"/>
      <c r="B65" s="39">
        <v>683</v>
      </c>
      <c r="C65" s="52" t="s">
        <v>54</v>
      </c>
      <c r="D65" s="53">
        <f t="shared" ref="D65:E66" si="46">D66</f>
        <v>712.71</v>
      </c>
      <c r="E65" s="53">
        <f t="shared" si="46"/>
        <v>3000</v>
      </c>
      <c r="F65" s="53">
        <f>F66</f>
        <v>3000</v>
      </c>
      <c r="G65" s="53">
        <f t="shared" ref="G65:H66" si="47">G66</f>
        <v>3000</v>
      </c>
      <c r="H65" s="53">
        <f t="shared" si="47"/>
        <v>3000</v>
      </c>
    </row>
    <row r="66" spans="1:8" x14ac:dyDescent="0.25">
      <c r="A66" s="39"/>
      <c r="B66" s="39">
        <v>6831</v>
      </c>
      <c r="C66" s="52" t="s">
        <v>54</v>
      </c>
      <c r="D66" s="53">
        <f t="shared" si="46"/>
        <v>712.71</v>
      </c>
      <c r="E66" s="53">
        <f t="shared" si="46"/>
        <v>3000</v>
      </c>
      <c r="F66" s="53">
        <f>F67</f>
        <v>3000</v>
      </c>
      <c r="G66" s="53">
        <f t="shared" si="47"/>
        <v>3000</v>
      </c>
      <c r="H66" s="53">
        <f t="shared" si="47"/>
        <v>3000</v>
      </c>
    </row>
    <row r="67" spans="1:8" x14ac:dyDescent="0.25">
      <c r="A67" s="39"/>
      <c r="B67" s="55">
        <v>68311</v>
      </c>
      <c r="C67" s="62" t="s">
        <v>54</v>
      </c>
      <c r="D67" s="50">
        <f>'Prihodi po ek klas i izvorima'!E52</f>
        <v>712.71</v>
      </c>
      <c r="E67" s="50">
        <f>'Prihodi po ek klas i izvorima'!F52</f>
        <v>3000</v>
      </c>
      <c r="F67" s="50">
        <f>'Prihodi po ek klas i izvorima'!G52</f>
        <v>3000</v>
      </c>
      <c r="G67" s="50">
        <f>'Prihodi po ek klas i izvorima'!H52</f>
        <v>3000</v>
      </c>
      <c r="H67" s="50">
        <f>'Prihodi po ek klas i izvorima'!I52</f>
        <v>3000</v>
      </c>
    </row>
    <row r="68" spans="1:8" x14ac:dyDescent="0.25">
      <c r="A68" s="36">
        <v>7</v>
      </c>
      <c r="B68" s="36"/>
      <c r="C68" s="68" t="s">
        <v>76</v>
      </c>
      <c r="D68" s="69">
        <f t="shared" ref="D68" si="48">SUM(D69)</f>
        <v>0</v>
      </c>
      <c r="E68" s="69">
        <f t="shared" ref="E68" si="49">SUM(E69)</f>
        <v>800</v>
      </c>
      <c r="F68" s="69">
        <f t="shared" ref="F68" si="50">SUM(F69)</f>
        <v>0</v>
      </c>
      <c r="G68" s="69">
        <f t="shared" ref="G68" si="51">SUM(G69)</f>
        <v>0</v>
      </c>
      <c r="H68" s="69">
        <f t="shared" ref="H68" si="52">SUM(H69)</f>
        <v>0</v>
      </c>
    </row>
    <row r="69" spans="1:8" s="54" customFormat="1" ht="19.5" customHeight="1" x14ac:dyDescent="0.25">
      <c r="A69" s="39"/>
      <c r="B69" s="59">
        <v>72</v>
      </c>
      <c r="C69" s="70" t="s">
        <v>77</v>
      </c>
      <c r="D69" s="61">
        <f t="shared" ref="D69" si="53">SUM(D70,D72)</f>
        <v>0</v>
      </c>
      <c r="E69" s="61">
        <f t="shared" ref="E69" si="54">SUM(E70,E72)</f>
        <v>800</v>
      </c>
      <c r="F69" s="61">
        <f t="shared" ref="F69" si="55">SUM(F70,F72)</f>
        <v>0</v>
      </c>
      <c r="G69" s="61">
        <f t="shared" ref="G69" si="56">SUM(G70,G72)</f>
        <v>0</v>
      </c>
      <c r="H69" s="61">
        <f t="shared" ref="H69" si="57">SUM(H70,H72)</f>
        <v>0</v>
      </c>
    </row>
    <row r="70" spans="1:8" x14ac:dyDescent="0.25">
      <c r="A70" s="39"/>
      <c r="B70" s="39">
        <v>721</v>
      </c>
      <c r="C70" s="52" t="s">
        <v>78</v>
      </c>
      <c r="D70" s="53">
        <f t="shared" ref="D70" si="58">D71</f>
        <v>0</v>
      </c>
      <c r="E70" s="53">
        <f t="shared" ref="E70" si="59">E71</f>
        <v>0</v>
      </c>
      <c r="F70" s="53">
        <f t="shared" ref="F70" si="60">F71</f>
        <v>0</v>
      </c>
      <c r="G70" s="53">
        <f t="shared" ref="G70" si="61">G71</f>
        <v>0</v>
      </c>
      <c r="H70" s="53">
        <f t="shared" ref="H70" si="62">H71</f>
        <v>0</v>
      </c>
    </row>
    <row r="71" spans="1:8" x14ac:dyDescent="0.25">
      <c r="A71" s="39"/>
      <c r="B71" s="39">
        <v>7211</v>
      </c>
      <c r="C71" s="52" t="s">
        <v>79</v>
      </c>
      <c r="D71" s="53">
        <f>'Prihodi po ek klas i izvorima'!E88</f>
        <v>0</v>
      </c>
      <c r="E71" s="53">
        <f>'Prihodi po ek klas i izvorima'!F88</f>
        <v>0</v>
      </c>
      <c r="F71" s="53">
        <f>'Prihodi po ek klas i izvorima'!G88</f>
        <v>0</v>
      </c>
      <c r="G71" s="53">
        <f>'Prihodi po ek klas i izvorima'!H88</f>
        <v>0</v>
      </c>
      <c r="H71" s="53">
        <f>'Prihodi po ek klas i izvorima'!I88</f>
        <v>0</v>
      </c>
    </row>
    <row r="72" spans="1:8" s="43" customFormat="1" x14ac:dyDescent="0.25">
      <c r="A72" s="39"/>
      <c r="B72" s="39">
        <v>723</v>
      </c>
      <c r="C72" s="52" t="s">
        <v>80</v>
      </c>
      <c r="D72" s="53">
        <f t="shared" ref="D72" si="63">D73</f>
        <v>0</v>
      </c>
      <c r="E72" s="53">
        <f t="shared" ref="E72" si="64">E73</f>
        <v>800</v>
      </c>
      <c r="F72" s="53">
        <f t="shared" ref="F72" si="65">F73</f>
        <v>0</v>
      </c>
      <c r="G72" s="53">
        <f t="shared" ref="G72" si="66">G73</f>
        <v>0</v>
      </c>
      <c r="H72" s="53">
        <f t="shared" ref="H72" si="67">H73</f>
        <v>0</v>
      </c>
    </row>
    <row r="73" spans="1:8" x14ac:dyDescent="0.25">
      <c r="A73" s="39"/>
      <c r="B73" s="39">
        <v>7231</v>
      </c>
      <c r="C73" s="52" t="s">
        <v>81</v>
      </c>
      <c r="D73" s="53">
        <f>'Prihodi po ek klas i izvorima'!E90</f>
        <v>0</v>
      </c>
      <c r="E73" s="53">
        <f>'Prihodi po ek klas i izvorima'!F90</f>
        <v>800</v>
      </c>
      <c r="F73" s="53">
        <f>'Prihodi po ek klas i izvorima'!G90</f>
        <v>0</v>
      </c>
      <c r="G73" s="53">
        <f>'Prihodi po ek klas i izvorima'!H90</f>
        <v>0</v>
      </c>
      <c r="H73" s="53">
        <f>'Prihodi po ek klas i izvorima'!I90</f>
        <v>0</v>
      </c>
    </row>
    <row r="74" spans="1:8" x14ac:dyDescent="0.25">
      <c r="A74" s="567" t="s">
        <v>263</v>
      </c>
      <c r="B74" s="568"/>
      <c r="C74" s="569"/>
      <c r="D74" s="72">
        <f t="shared" ref="D74:E74" si="68">D10+D68</f>
        <v>5100997.3</v>
      </c>
      <c r="E74" s="72">
        <f t="shared" si="68"/>
        <v>5178957.92</v>
      </c>
      <c r="F74" s="72">
        <f>F10+F68</f>
        <v>5420091.0800000001</v>
      </c>
      <c r="G74" s="72">
        <f>G10+G68</f>
        <v>5902923.1899999995</v>
      </c>
      <c r="H74" s="72">
        <f>H10+H68</f>
        <v>6174587.6400000006</v>
      </c>
    </row>
  </sheetData>
  <mergeCells count="6">
    <mergeCell ref="A74:C74"/>
    <mergeCell ref="A2:H2"/>
    <mergeCell ref="A4:H4"/>
    <mergeCell ref="A6:H6"/>
    <mergeCell ref="B7:H7"/>
    <mergeCell ref="A8:H8"/>
  </mergeCells>
  <pageMargins left="0.7" right="0.7" top="0.75" bottom="0.75" header="0.3" footer="0.3"/>
  <pageSetup paperSize="9" scale="73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47790-81BF-4C9C-967A-C24615459537}">
  <sheetPr>
    <pageSetUpPr fitToPage="1"/>
  </sheetPr>
  <dimension ref="A1:H253"/>
  <sheetViews>
    <sheetView workbookViewId="0">
      <selection activeCell="G252" sqref="G252"/>
    </sheetView>
  </sheetViews>
  <sheetFormatPr defaultRowHeight="15.75" x14ac:dyDescent="0.25"/>
  <cols>
    <col min="1" max="1" width="9.140625" style="76"/>
    <col min="2" max="2" width="9.140625" style="93"/>
    <col min="3" max="3" width="65.28515625" style="93" bestFit="1" customWidth="1"/>
    <col min="4" max="4" width="16.5703125" style="93" bestFit="1" customWidth="1"/>
    <col min="5" max="5" width="19.85546875" style="93" bestFit="1" customWidth="1"/>
    <col min="6" max="6" width="21.85546875" style="94" bestFit="1" customWidth="1"/>
    <col min="7" max="8" width="21.42578125" style="93" customWidth="1"/>
    <col min="9" max="257" width="9.140625" style="75"/>
    <col min="258" max="258" width="55.28515625" style="75" bestFit="1" customWidth="1"/>
    <col min="259" max="259" width="0" style="75" hidden="1" customWidth="1"/>
    <col min="260" max="260" width="21.85546875" style="75" bestFit="1" customWidth="1"/>
    <col min="261" max="261" width="0" style="75" hidden="1" customWidth="1"/>
    <col min="262" max="262" width="21.42578125" style="75" customWidth="1"/>
    <col min="263" max="263" width="10" style="75" bestFit="1" customWidth="1"/>
    <col min="264" max="264" width="0" style="75" hidden="1" customWidth="1"/>
    <col min="265" max="513" width="9.140625" style="75"/>
    <col min="514" max="514" width="55.28515625" style="75" bestFit="1" customWidth="1"/>
    <col min="515" max="515" width="0" style="75" hidden="1" customWidth="1"/>
    <col min="516" max="516" width="21.85546875" style="75" bestFit="1" customWidth="1"/>
    <col min="517" max="517" width="0" style="75" hidden="1" customWidth="1"/>
    <col min="518" max="518" width="21.42578125" style="75" customWidth="1"/>
    <col min="519" max="519" width="10" style="75" bestFit="1" customWidth="1"/>
    <col min="520" max="520" width="0" style="75" hidden="1" customWidth="1"/>
    <col min="521" max="769" width="9.140625" style="75"/>
    <col min="770" max="770" width="55.28515625" style="75" bestFit="1" customWidth="1"/>
    <col min="771" max="771" width="0" style="75" hidden="1" customWidth="1"/>
    <col min="772" max="772" width="21.85546875" style="75" bestFit="1" customWidth="1"/>
    <col min="773" max="773" width="0" style="75" hidden="1" customWidth="1"/>
    <col min="774" max="774" width="21.42578125" style="75" customWidth="1"/>
    <col min="775" max="775" width="10" style="75" bestFit="1" customWidth="1"/>
    <col min="776" max="776" width="0" style="75" hidden="1" customWidth="1"/>
    <col min="777" max="1025" width="9.140625" style="75"/>
    <col min="1026" max="1026" width="55.28515625" style="75" bestFit="1" customWidth="1"/>
    <col min="1027" max="1027" width="0" style="75" hidden="1" customWidth="1"/>
    <col min="1028" max="1028" width="21.85546875" style="75" bestFit="1" customWidth="1"/>
    <col min="1029" max="1029" width="0" style="75" hidden="1" customWidth="1"/>
    <col min="1030" max="1030" width="21.42578125" style="75" customWidth="1"/>
    <col min="1031" max="1031" width="10" style="75" bestFit="1" customWidth="1"/>
    <col min="1032" max="1032" width="0" style="75" hidden="1" customWidth="1"/>
    <col min="1033" max="1281" width="9.140625" style="75"/>
    <col min="1282" max="1282" width="55.28515625" style="75" bestFit="1" customWidth="1"/>
    <col min="1283" max="1283" width="0" style="75" hidden="1" customWidth="1"/>
    <col min="1284" max="1284" width="21.85546875" style="75" bestFit="1" customWidth="1"/>
    <col min="1285" max="1285" width="0" style="75" hidden="1" customWidth="1"/>
    <col min="1286" max="1286" width="21.42578125" style="75" customWidth="1"/>
    <col min="1287" max="1287" width="10" style="75" bestFit="1" customWidth="1"/>
    <col min="1288" max="1288" width="0" style="75" hidden="1" customWidth="1"/>
    <col min="1289" max="1537" width="9.140625" style="75"/>
    <col min="1538" max="1538" width="55.28515625" style="75" bestFit="1" customWidth="1"/>
    <col min="1539" max="1539" width="0" style="75" hidden="1" customWidth="1"/>
    <col min="1540" max="1540" width="21.85546875" style="75" bestFit="1" customWidth="1"/>
    <col min="1541" max="1541" width="0" style="75" hidden="1" customWidth="1"/>
    <col min="1542" max="1542" width="21.42578125" style="75" customWidth="1"/>
    <col min="1543" max="1543" width="10" style="75" bestFit="1" customWidth="1"/>
    <col min="1544" max="1544" width="0" style="75" hidden="1" customWidth="1"/>
    <col min="1545" max="1793" width="9.140625" style="75"/>
    <col min="1794" max="1794" width="55.28515625" style="75" bestFit="1" customWidth="1"/>
    <col min="1795" max="1795" width="0" style="75" hidden="1" customWidth="1"/>
    <col min="1796" max="1796" width="21.85546875" style="75" bestFit="1" customWidth="1"/>
    <col min="1797" max="1797" width="0" style="75" hidden="1" customWidth="1"/>
    <col min="1798" max="1798" width="21.42578125" style="75" customWidth="1"/>
    <col min="1799" max="1799" width="10" style="75" bestFit="1" customWidth="1"/>
    <col min="1800" max="1800" width="0" style="75" hidden="1" customWidth="1"/>
    <col min="1801" max="2049" width="9.140625" style="75"/>
    <col min="2050" max="2050" width="55.28515625" style="75" bestFit="1" customWidth="1"/>
    <col min="2051" max="2051" width="0" style="75" hidden="1" customWidth="1"/>
    <col min="2052" max="2052" width="21.85546875" style="75" bestFit="1" customWidth="1"/>
    <col min="2053" max="2053" width="0" style="75" hidden="1" customWidth="1"/>
    <col min="2054" max="2054" width="21.42578125" style="75" customWidth="1"/>
    <col min="2055" max="2055" width="10" style="75" bestFit="1" customWidth="1"/>
    <col min="2056" max="2056" width="0" style="75" hidden="1" customWidth="1"/>
    <col min="2057" max="2305" width="9.140625" style="75"/>
    <col min="2306" max="2306" width="55.28515625" style="75" bestFit="1" customWidth="1"/>
    <col min="2307" max="2307" width="0" style="75" hidden="1" customWidth="1"/>
    <col min="2308" max="2308" width="21.85546875" style="75" bestFit="1" customWidth="1"/>
    <col min="2309" max="2309" width="0" style="75" hidden="1" customWidth="1"/>
    <col min="2310" max="2310" width="21.42578125" style="75" customWidth="1"/>
    <col min="2311" max="2311" width="10" style="75" bestFit="1" customWidth="1"/>
    <col min="2312" max="2312" width="0" style="75" hidden="1" customWidth="1"/>
    <col min="2313" max="2561" width="9.140625" style="75"/>
    <col min="2562" max="2562" width="55.28515625" style="75" bestFit="1" customWidth="1"/>
    <col min="2563" max="2563" width="0" style="75" hidden="1" customWidth="1"/>
    <col min="2564" max="2564" width="21.85546875" style="75" bestFit="1" customWidth="1"/>
    <col min="2565" max="2565" width="0" style="75" hidden="1" customWidth="1"/>
    <col min="2566" max="2566" width="21.42578125" style="75" customWidth="1"/>
    <col min="2567" max="2567" width="10" style="75" bestFit="1" customWidth="1"/>
    <col min="2568" max="2568" width="0" style="75" hidden="1" customWidth="1"/>
    <col min="2569" max="2817" width="9.140625" style="75"/>
    <col min="2818" max="2818" width="55.28515625" style="75" bestFit="1" customWidth="1"/>
    <col min="2819" max="2819" width="0" style="75" hidden="1" customWidth="1"/>
    <col min="2820" max="2820" width="21.85546875" style="75" bestFit="1" customWidth="1"/>
    <col min="2821" max="2821" width="0" style="75" hidden="1" customWidth="1"/>
    <col min="2822" max="2822" width="21.42578125" style="75" customWidth="1"/>
    <col min="2823" max="2823" width="10" style="75" bestFit="1" customWidth="1"/>
    <col min="2824" max="2824" width="0" style="75" hidden="1" customWidth="1"/>
    <col min="2825" max="3073" width="9.140625" style="75"/>
    <col min="3074" max="3074" width="55.28515625" style="75" bestFit="1" customWidth="1"/>
    <col min="3075" max="3075" width="0" style="75" hidden="1" customWidth="1"/>
    <col min="3076" max="3076" width="21.85546875" style="75" bestFit="1" customWidth="1"/>
    <col min="3077" max="3077" width="0" style="75" hidden="1" customWidth="1"/>
    <col min="3078" max="3078" width="21.42578125" style="75" customWidth="1"/>
    <col min="3079" max="3079" width="10" style="75" bestFit="1" customWidth="1"/>
    <col min="3080" max="3080" width="0" style="75" hidden="1" customWidth="1"/>
    <col min="3081" max="3329" width="9.140625" style="75"/>
    <col min="3330" max="3330" width="55.28515625" style="75" bestFit="1" customWidth="1"/>
    <col min="3331" max="3331" width="0" style="75" hidden="1" customWidth="1"/>
    <col min="3332" max="3332" width="21.85546875" style="75" bestFit="1" customWidth="1"/>
    <col min="3333" max="3333" width="0" style="75" hidden="1" customWidth="1"/>
    <col min="3334" max="3334" width="21.42578125" style="75" customWidth="1"/>
    <col min="3335" max="3335" width="10" style="75" bestFit="1" customWidth="1"/>
    <col min="3336" max="3336" width="0" style="75" hidden="1" customWidth="1"/>
    <col min="3337" max="3585" width="9.140625" style="75"/>
    <col min="3586" max="3586" width="55.28515625" style="75" bestFit="1" customWidth="1"/>
    <col min="3587" max="3587" width="0" style="75" hidden="1" customWidth="1"/>
    <col min="3588" max="3588" width="21.85546875" style="75" bestFit="1" customWidth="1"/>
    <col min="3589" max="3589" width="0" style="75" hidden="1" customWidth="1"/>
    <col min="3590" max="3590" width="21.42578125" style="75" customWidth="1"/>
    <col min="3591" max="3591" width="10" style="75" bestFit="1" customWidth="1"/>
    <col min="3592" max="3592" width="0" style="75" hidden="1" customWidth="1"/>
    <col min="3593" max="3841" width="9.140625" style="75"/>
    <col min="3842" max="3842" width="55.28515625" style="75" bestFit="1" customWidth="1"/>
    <col min="3843" max="3843" width="0" style="75" hidden="1" customWidth="1"/>
    <col min="3844" max="3844" width="21.85546875" style="75" bestFit="1" customWidth="1"/>
    <col min="3845" max="3845" width="0" style="75" hidden="1" customWidth="1"/>
    <col min="3846" max="3846" width="21.42578125" style="75" customWidth="1"/>
    <col min="3847" max="3847" width="10" style="75" bestFit="1" customWidth="1"/>
    <col min="3848" max="3848" width="0" style="75" hidden="1" customWidth="1"/>
    <col min="3849" max="4097" width="9.140625" style="75"/>
    <col min="4098" max="4098" width="55.28515625" style="75" bestFit="1" customWidth="1"/>
    <col min="4099" max="4099" width="0" style="75" hidden="1" customWidth="1"/>
    <col min="4100" max="4100" width="21.85546875" style="75" bestFit="1" customWidth="1"/>
    <col min="4101" max="4101" width="0" style="75" hidden="1" customWidth="1"/>
    <col min="4102" max="4102" width="21.42578125" style="75" customWidth="1"/>
    <col min="4103" max="4103" width="10" style="75" bestFit="1" customWidth="1"/>
    <col min="4104" max="4104" width="0" style="75" hidden="1" customWidth="1"/>
    <col min="4105" max="4353" width="9.140625" style="75"/>
    <col min="4354" max="4354" width="55.28515625" style="75" bestFit="1" customWidth="1"/>
    <col min="4355" max="4355" width="0" style="75" hidden="1" customWidth="1"/>
    <col min="4356" max="4356" width="21.85546875" style="75" bestFit="1" customWidth="1"/>
    <col min="4357" max="4357" width="0" style="75" hidden="1" customWidth="1"/>
    <col min="4358" max="4358" width="21.42578125" style="75" customWidth="1"/>
    <col min="4359" max="4359" width="10" style="75" bestFit="1" customWidth="1"/>
    <col min="4360" max="4360" width="0" style="75" hidden="1" customWidth="1"/>
    <col min="4361" max="4609" width="9.140625" style="75"/>
    <col min="4610" max="4610" width="55.28515625" style="75" bestFit="1" customWidth="1"/>
    <col min="4611" max="4611" width="0" style="75" hidden="1" customWidth="1"/>
    <col min="4612" max="4612" width="21.85546875" style="75" bestFit="1" customWidth="1"/>
    <col min="4613" max="4613" width="0" style="75" hidden="1" customWidth="1"/>
    <col min="4614" max="4614" width="21.42578125" style="75" customWidth="1"/>
    <col min="4615" max="4615" width="10" style="75" bestFit="1" customWidth="1"/>
    <col min="4616" max="4616" width="0" style="75" hidden="1" customWidth="1"/>
    <col min="4617" max="4865" width="9.140625" style="75"/>
    <col min="4866" max="4866" width="55.28515625" style="75" bestFit="1" customWidth="1"/>
    <col min="4867" max="4867" width="0" style="75" hidden="1" customWidth="1"/>
    <col min="4868" max="4868" width="21.85546875" style="75" bestFit="1" customWidth="1"/>
    <col min="4869" max="4869" width="0" style="75" hidden="1" customWidth="1"/>
    <col min="4870" max="4870" width="21.42578125" style="75" customWidth="1"/>
    <col min="4871" max="4871" width="10" style="75" bestFit="1" customWidth="1"/>
    <col min="4872" max="4872" width="0" style="75" hidden="1" customWidth="1"/>
    <col min="4873" max="5121" width="9.140625" style="75"/>
    <col min="5122" max="5122" width="55.28515625" style="75" bestFit="1" customWidth="1"/>
    <col min="5123" max="5123" width="0" style="75" hidden="1" customWidth="1"/>
    <col min="5124" max="5124" width="21.85546875" style="75" bestFit="1" customWidth="1"/>
    <col min="5125" max="5125" width="0" style="75" hidden="1" customWidth="1"/>
    <col min="5126" max="5126" width="21.42578125" style="75" customWidth="1"/>
    <col min="5127" max="5127" width="10" style="75" bestFit="1" customWidth="1"/>
    <col min="5128" max="5128" width="0" style="75" hidden="1" customWidth="1"/>
    <col min="5129" max="5377" width="9.140625" style="75"/>
    <col min="5378" max="5378" width="55.28515625" style="75" bestFit="1" customWidth="1"/>
    <col min="5379" max="5379" width="0" style="75" hidden="1" customWidth="1"/>
    <col min="5380" max="5380" width="21.85546875" style="75" bestFit="1" customWidth="1"/>
    <col min="5381" max="5381" width="0" style="75" hidden="1" customWidth="1"/>
    <col min="5382" max="5382" width="21.42578125" style="75" customWidth="1"/>
    <col min="5383" max="5383" width="10" style="75" bestFit="1" customWidth="1"/>
    <col min="5384" max="5384" width="0" style="75" hidden="1" customWidth="1"/>
    <col min="5385" max="5633" width="9.140625" style="75"/>
    <col min="5634" max="5634" width="55.28515625" style="75" bestFit="1" customWidth="1"/>
    <col min="5635" max="5635" width="0" style="75" hidden="1" customWidth="1"/>
    <col min="5636" max="5636" width="21.85546875" style="75" bestFit="1" customWidth="1"/>
    <col min="5637" max="5637" width="0" style="75" hidden="1" customWidth="1"/>
    <col min="5638" max="5638" width="21.42578125" style="75" customWidth="1"/>
    <col min="5639" max="5639" width="10" style="75" bestFit="1" customWidth="1"/>
    <col min="5640" max="5640" width="0" style="75" hidden="1" customWidth="1"/>
    <col min="5641" max="5889" width="9.140625" style="75"/>
    <col min="5890" max="5890" width="55.28515625" style="75" bestFit="1" customWidth="1"/>
    <col min="5891" max="5891" width="0" style="75" hidden="1" customWidth="1"/>
    <col min="5892" max="5892" width="21.85546875" style="75" bestFit="1" customWidth="1"/>
    <col min="5893" max="5893" width="0" style="75" hidden="1" customWidth="1"/>
    <col min="5894" max="5894" width="21.42578125" style="75" customWidth="1"/>
    <col min="5895" max="5895" width="10" style="75" bestFit="1" customWidth="1"/>
    <col min="5896" max="5896" width="0" style="75" hidden="1" customWidth="1"/>
    <col min="5897" max="6145" width="9.140625" style="75"/>
    <col min="6146" max="6146" width="55.28515625" style="75" bestFit="1" customWidth="1"/>
    <col min="6147" max="6147" width="0" style="75" hidden="1" customWidth="1"/>
    <col min="6148" max="6148" width="21.85546875" style="75" bestFit="1" customWidth="1"/>
    <col min="6149" max="6149" width="0" style="75" hidden="1" customWidth="1"/>
    <col min="6150" max="6150" width="21.42578125" style="75" customWidth="1"/>
    <col min="6151" max="6151" width="10" style="75" bestFit="1" customWidth="1"/>
    <col min="6152" max="6152" width="0" style="75" hidden="1" customWidth="1"/>
    <col min="6153" max="6401" width="9.140625" style="75"/>
    <col min="6402" max="6402" width="55.28515625" style="75" bestFit="1" customWidth="1"/>
    <col min="6403" max="6403" width="0" style="75" hidden="1" customWidth="1"/>
    <col min="6404" max="6404" width="21.85546875" style="75" bestFit="1" customWidth="1"/>
    <col min="6405" max="6405" width="0" style="75" hidden="1" customWidth="1"/>
    <col min="6406" max="6406" width="21.42578125" style="75" customWidth="1"/>
    <col min="6407" max="6407" width="10" style="75" bestFit="1" customWidth="1"/>
    <col min="6408" max="6408" width="0" style="75" hidden="1" customWidth="1"/>
    <col min="6409" max="6657" width="9.140625" style="75"/>
    <col min="6658" max="6658" width="55.28515625" style="75" bestFit="1" customWidth="1"/>
    <col min="6659" max="6659" width="0" style="75" hidden="1" customWidth="1"/>
    <col min="6660" max="6660" width="21.85546875" style="75" bestFit="1" customWidth="1"/>
    <col min="6661" max="6661" width="0" style="75" hidden="1" customWidth="1"/>
    <col min="6662" max="6662" width="21.42578125" style="75" customWidth="1"/>
    <col min="6663" max="6663" width="10" style="75" bestFit="1" customWidth="1"/>
    <col min="6664" max="6664" width="0" style="75" hidden="1" customWidth="1"/>
    <col min="6665" max="6913" width="9.140625" style="75"/>
    <col min="6914" max="6914" width="55.28515625" style="75" bestFit="1" customWidth="1"/>
    <col min="6915" max="6915" width="0" style="75" hidden="1" customWidth="1"/>
    <col min="6916" max="6916" width="21.85546875" style="75" bestFit="1" customWidth="1"/>
    <col min="6917" max="6917" width="0" style="75" hidden="1" customWidth="1"/>
    <col min="6918" max="6918" width="21.42578125" style="75" customWidth="1"/>
    <col min="6919" max="6919" width="10" style="75" bestFit="1" customWidth="1"/>
    <col min="6920" max="6920" width="0" style="75" hidden="1" customWidth="1"/>
    <col min="6921" max="7169" width="9.140625" style="75"/>
    <col min="7170" max="7170" width="55.28515625" style="75" bestFit="1" customWidth="1"/>
    <col min="7171" max="7171" width="0" style="75" hidden="1" customWidth="1"/>
    <col min="7172" max="7172" width="21.85546875" style="75" bestFit="1" customWidth="1"/>
    <col min="7173" max="7173" width="0" style="75" hidden="1" customWidth="1"/>
    <col min="7174" max="7174" width="21.42578125" style="75" customWidth="1"/>
    <col min="7175" max="7175" width="10" style="75" bestFit="1" customWidth="1"/>
    <col min="7176" max="7176" width="0" style="75" hidden="1" customWidth="1"/>
    <col min="7177" max="7425" width="9.140625" style="75"/>
    <col min="7426" max="7426" width="55.28515625" style="75" bestFit="1" customWidth="1"/>
    <col min="7427" max="7427" width="0" style="75" hidden="1" customWidth="1"/>
    <col min="7428" max="7428" width="21.85546875" style="75" bestFit="1" customWidth="1"/>
    <col min="7429" max="7429" width="0" style="75" hidden="1" customWidth="1"/>
    <col min="7430" max="7430" width="21.42578125" style="75" customWidth="1"/>
    <col min="7431" max="7431" width="10" style="75" bestFit="1" customWidth="1"/>
    <col min="7432" max="7432" width="0" style="75" hidden="1" customWidth="1"/>
    <col min="7433" max="7681" width="9.140625" style="75"/>
    <col min="7682" max="7682" width="55.28515625" style="75" bestFit="1" customWidth="1"/>
    <col min="7683" max="7683" width="0" style="75" hidden="1" customWidth="1"/>
    <col min="7684" max="7684" width="21.85546875" style="75" bestFit="1" customWidth="1"/>
    <col min="7685" max="7685" width="0" style="75" hidden="1" customWidth="1"/>
    <col min="7686" max="7686" width="21.42578125" style="75" customWidth="1"/>
    <col min="7687" max="7687" width="10" style="75" bestFit="1" customWidth="1"/>
    <col min="7688" max="7688" width="0" style="75" hidden="1" customWidth="1"/>
    <col min="7689" max="7937" width="9.140625" style="75"/>
    <col min="7938" max="7938" width="55.28515625" style="75" bestFit="1" customWidth="1"/>
    <col min="7939" max="7939" width="0" style="75" hidden="1" customWidth="1"/>
    <col min="7940" max="7940" width="21.85546875" style="75" bestFit="1" customWidth="1"/>
    <col min="7941" max="7941" width="0" style="75" hidden="1" customWidth="1"/>
    <col min="7942" max="7942" width="21.42578125" style="75" customWidth="1"/>
    <col min="7943" max="7943" width="10" style="75" bestFit="1" customWidth="1"/>
    <col min="7944" max="7944" width="0" style="75" hidden="1" customWidth="1"/>
    <col min="7945" max="8193" width="9.140625" style="75"/>
    <col min="8194" max="8194" width="55.28515625" style="75" bestFit="1" customWidth="1"/>
    <col min="8195" max="8195" width="0" style="75" hidden="1" customWidth="1"/>
    <col min="8196" max="8196" width="21.85546875" style="75" bestFit="1" customWidth="1"/>
    <col min="8197" max="8197" width="0" style="75" hidden="1" customWidth="1"/>
    <col min="8198" max="8198" width="21.42578125" style="75" customWidth="1"/>
    <col min="8199" max="8199" width="10" style="75" bestFit="1" customWidth="1"/>
    <col min="8200" max="8200" width="0" style="75" hidden="1" customWidth="1"/>
    <col min="8201" max="8449" width="9.140625" style="75"/>
    <col min="8450" max="8450" width="55.28515625" style="75" bestFit="1" customWidth="1"/>
    <col min="8451" max="8451" width="0" style="75" hidden="1" customWidth="1"/>
    <col min="8452" max="8452" width="21.85546875" style="75" bestFit="1" customWidth="1"/>
    <col min="8453" max="8453" width="0" style="75" hidden="1" customWidth="1"/>
    <col min="8454" max="8454" width="21.42578125" style="75" customWidth="1"/>
    <col min="8455" max="8455" width="10" style="75" bestFit="1" customWidth="1"/>
    <col min="8456" max="8456" width="0" style="75" hidden="1" customWidth="1"/>
    <col min="8457" max="8705" width="9.140625" style="75"/>
    <col min="8706" max="8706" width="55.28515625" style="75" bestFit="1" customWidth="1"/>
    <col min="8707" max="8707" width="0" style="75" hidden="1" customWidth="1"/>
    <col min="8708" max="8708" width="21.85546875" style="75" bestFit="1" customWidth="1"/>
    <col min="8709" max="8709" width="0" style="75" hidden="1" customWidth="1"/>
    <col min="8710" max="8710" width="21.42578125" style="75" customWidth="1"/>
    <col min="8711" max="8711" width="10" style="75" bestFit="1" customWidth="1"/>
    <col min="8712" max="8712" width="0" style="75" hidden="1" customWidth="1"/>
    <col min="8713" max="8961" width="9.140625" style="75"/>
    <col min="8962" max="8962" width="55.28515625" style="75" bestFit="1" customWidth="1"/>
    <col min="8963" max="8963" width="0" style="75" hidden="1" customWidth="1"/>
    <col min="8964" max="8964" width="21.85546875" style="75" bestFit="1" customWidth="1"/>
    <col min="8965" max="8965" width="0" style="75" hidden="1" customWidth="1"/>
    <col min="8966" max="8966" width="21.42578125" style="75" customWidth="1"/>
    <col min="8967" max="8967" width="10" style="75" bestFit="1" customWidth="1"/>
    <col min="8968" max="8968" width="0" style="75" hidden="1" customWidth="1"/>
    <col min="8969" max="9217" width="9.140625" style="75"/>
    <col min="9218" max="9218" width="55.28515625" style="75" bestFit="1" customWidth="1"/>
    <col min="9219" max="9219" width="0" style="75" hidden="1" customWidth="1"/>
    <col min="9220" max="9220" width="21.85546875" style="75" bestFit="1" customWidth="1"/>
    <col min="9221" max="9221" width="0" style="75" hidden="1" customWidth="1"/>
    <col min="9222" max="9222" width="21.42578125" style="75" customWidth="1"/>
    <col min="9223" max="9223" width="10" style="75" bestFit="1" customWidth="1"/>
    <col min="9224" max="9224" width="0" style="75" hidden="1" customWidth="1"/>
    <col min="9225" max="9473" width="9.140625" style="75"/>
    <col min="9474" max="9474" width="55.28515625" style="75" bestFit="1" customWidth="1"/>
    <col min="9475" max="9475" width="0" style="75" hidden="1" customWidth="1"/>
    <col min="9476" max="9476" width="21.85546875" style="75" bestFit="1" customWidth="1"/>
    <col min="9477" max="9477" width="0" style="75" hidden="1" customWidth="1"/>
    <col min="9478" max="9478" width="21.42578125" style="75" customWidth="1"/>
    <col min="9479" max="9479" width="10" style="75" bestFit="1" customWidth="1"/>
    <col min="9480" max="9480" width="0" style="75" hidden="1" customWidth="1"/>
    <col min="9481" max="9729" width="9.140625" style="75"/>
    <col min="9730" max="9730" width="55.28515625" style="75" bestFit="1" customWidth="1"/>
    <col min="9731" max="9731" width="0" style="75" hidden="1" customWidth="1"/>
    <col min="9732" max="9732" width="21.85546875" style="75" bestFit="1" customWidth="1"/>
    <col min="9733" max="9733" width="0" style="75" hidden="1" customWidth="1"/>
    <col min="9734" max="9734" width="21.42578125" style="75" customWidth="1"/>
    <col min="9735" max="9735" width="10" style="75" bestFit="1" customWidth="1"/>
    <col min="9736" max="9736" width="0" style="75" hidden="1" customWidth="1"/>
    <col min="9737" max="9985" width="9.140625" style="75"/>
    <col min="9986" max="9986" width="55.28515625" style="75" bestFit="1" customWidth="1"/>
    <col min="9987" max="9987" width="0" style="75" hidden="1" customWidth="1"/>
    <col min="9988" max="9988" width="21.85546875" style="75" bestFit="1" customWidth="1"/>
    <col min="9989" max="9989" width="0" style="75" hidden="1" customWidth="1"/>
    <col min="9990" max="9990" width="21.42578125" style="75" customWidth="1"/>
    <col min="9991" max="9991" width="10" style="75" bestFit="1" customWidth="1"/>
    <col min="9992" max="9992" width="0" style="75" hidden="1" customWidth="1"/>
    <col min="9993" max="10241" width="9.140625" style="75"/>
    <col min="10242" max="10242" width="55.28515625" style="75" bestFit="1" customWidth="1"/>
    <col min="10243" max="10243" width="0" style="75" hidden="1" customWidth="1"/>
    <col min="10244" max="10244" width="21.85546875" style="75" bestFit="1" customWidth="1"/>
    <col min="10245" max="10245" width="0" style="75" hidden="1" customWidth="1"/>
    <col min="10246" max="10246" width="21.42578125" style="75" customWidth="1"/>
    <col min="10247" max="10247" width="10" style="75" bestFit="1" customWidth="1"/>
    <col min="10248" max="10248" width="0" style="75" hidden="1" customWidth="1"/>
    <col min="10249" max="10497" width="9.140625" style="75"/>
    <col min="10498" max="10498" width="55.28515625" style="75" bestFit="1" customWidth="1"/>
    <col min="10499" max="10499" width="0" style="75" hidden="1" customWidth="1"/>
    <col min="10500" max="10500" width="21.85546875" style="75" bestFit="1" customWidth="1"/>
    <col min="10501" max="10501" width="0" style="75" hidden="1" customWidth="1"/>
    <col min="10502" max="10502" width="21.42578125" style="75" customWidth="1"/>
    <col min="10503" max="10503" width="10" style="75" bestFit="1" customWidth="1"/>
    <col min="10504" max="10504" width="0" style="75" hidden="1" customWidth="1"/>
    <col min="10505" max="10753" width="9.140625" style="75"/>
    <col min="10754" max="10754" width="55.28515625" style="75" bestFit="1" customWidth="1"/>
    <col min="10755" max="10755" width="0" style="75" hidden="1" customWidth="1"/>
    <col min="10756" max="10756" width="21.85546875" style="75" bestFit="1" customWidth="1"/>
    <col min="10757" max="10757" width="0" style="75" hidden="1" customWidth="1"/>
    <col min="10758" max="10758" width="21.42578125" style="75" customWidth="1"/>
    <col min="10759" max="10759" width="10" style="75" bestFit="1" customWidth="1"/>
    <col min="10760" max="10760" width="0" style="75" hidden="1" customWidth="1"/>
    <col min="10761" max="11009" width="9.140625" style="75"/>
    <col min="11010" max="11010" width="55.28515625" style="75" bestFit="1" customWidth="1"/>
    <col min="11011" max="11011" width="0" style="75" hidden="1" customWidth="1"/>
    <col min="11012" max="11012" width="21.85546875" style="75" bestFit="1" customWidth="1"/>
    <col min="11013" max="11013" width="0" style="75" hidden="1" customWidth="1"/>
    <col min="11014" max="11014" width="21.42578125" style="75" customWidth="1"/>
    <col min="11015" max="11015" width="10" style="75" bestFit="1" customWidth="1"/>
    <col min="11016" max="11016" width="0" style="75" hidden="1" customWidth="1"/>
    <col min="11017" max="11265" width="9.140625" style="75"/>
    <col min="11266" max="11266" width="55.28515625" style="75" bestFit="1" customWidth="1"/>
    <col min="11267" max="11267" width="0" style="75" hidden="1" customWidth="1"/>
    <col min="11268" max="11268" width="21.85546875" style="75" bestFit="1" customWidth="1"/>
    <col min="11269" max="11269" width="0" style="75" hidden="1" customWidth="1"/>
    <col min="11270" max="11270" width="21.42578125" style="75" customWidth="1"/>
    <col min="11271" max="11271" width="10" style="75" bestFit="1" customWidth="1"/>
    <col min="11272" max="11272" width="0" style="75" hidden="1" customWidth="1"/>
    <col min="11273" max="11521" width="9.140625" style="75"/>
    <col min="11522" max="11522" width="55.28515625" style="75" bestFit="1" customWidth="1"/>
    <col min="11523" max="11523" width="0" style="75" hidden="1" customWidth="1"/>
    <col min="11524" max="11524" width="21.85546875" style="75" bestFit="1" customWidth="1"/>
    <col min="11525" max="11525" width="0" style="75" hidden="1" customWidth="1"/>
    <col min="11526" max="11526" width="21.42578125" style="75" customWidth="1"/>
    <col min="11527" max="11527" width="10" style="75" bestFit="1" customWidth="1"/>
    <col min="11528" max="11528" width="0" style="75" hidden="1" customWidth="1"/>
    <col min="11529" max="11777" width="9.140625" style="75"/>
    <col min="11778" max="11778" width="55.28515625" style="75" bestFit="1" customWidth="1"/>
    <col min="11779" max="11779" width="0" style="75" hidden="1" customWidth="1"/>
    <col min="11780" max="11780" width="21.85546875" style="75" bestFit="1" customWidth="1"/>
    <col min="11781" max="11781" width="0" style="75" hidden="1" customWidth="1"/>
    <col min="11782" max="11782" width="21.42578125" style="75" customWidth="1"/>
    <col min="11783" max="11783" width="10" style="75" bestFit="1" customWidth="1"/>
    <col min="11784" max="11784" width="0" style="75" hidden="1" customWidth="1"/>
    <col min="11785" max="12033" width="9.140625" style="75"/>
    <col min="12034" max="12034" width="55.28515625" style="75" bestFit="1" customWidth="1"/>
    <col min="12035" max="12035" width="0" style="75" hidden="1" customWidth="1"/>
    <col min="12036" max="12036" width="21.85546875" style="75" bestFit="1" customWidth="1"/>
    <col min="12037" max="12037" width="0" style="75" hidden="1" customWidth="1"/>
    <col min="12038" max="12038" width="21.42578125" style="75" customWidth="1"/>
    <col min="12039" max="12039" width="10" style="75" bestFit="1" customWidth="1"/>
    <col min="12040" max="12040" width="0" style="75" hidden="1" customWidth="1"/>
    <col min="12041" max="12289" width="9.140625" style="75"/>
    <col min="12290" max="12290" width="55.28515625" style="75" bestFit="1" customWidth="1"/>
    <col min="12291" max="12291" width="0" style="75" hidden="1" customWidth="1"/>
    <col min="12292" max="12292" width="21.85546875" style="75" bestFit="1" customWidth="1"/>
    <col min="12293" max="12293" width="0" style="75" hidden="1" customWidth="1"/>
    <col min="12294" max="12294" width="21.42578125" style="75" customWidth="1"/>
    <col min="12295" max="12295" width="10" style="75" bestFit="1" customWidth="1"/>
    <col min="12296" max="12296" width="0" style="75" hidden="1" customWidth="1"/>
    <col min="12297" max="12545" width="9.140625" style="75"/>
    <col min="12546" max="12546" width="55.28515625" style="75" bestFit="1" customWidth="1"/>
    <col min="12547" max="12547" width="0" style="75" hidden="1" customWidth="1"/>
    <col min="12548" max="12548" width="21.85546875" style="75" bestFit="1" customWidth="1"/>
    <col min="12549" max="12549" width="0" style="75" hidden="1" customWidth="1"/>
    <col min="12550" max="12550" width="21.42578125" style="75" customWidth="1"/>
    <col min="12551" max="12551" width="10" style="75" bestFit="1" customWidth="1"/>
    <col min="12552" max="12552" width="0" style="75" hidden="1" customWidth="1"/>
    <col min="12553" max="12801" width="9.140625" style="75"/>
    <col min="12802" max="12802" width="55.28515625" style="75" bestFit="1" customWidth="1"/>
    <col min="12803" max="12803" width="0" style="75" hidden="1" customWidth="1"/>
    <col min="12804" max="12804" width="21.85546875" style="75" bestFit="1" customWidth="1"/>
    <col min="12805" max="12805" width="0" style="75" hidden="1" customWidth="1"/>
    <col min="12806" max="12806" width="21.42578125" style="75" customWidth="1"/>
    <col min="12807" max="12807" width="10" style="75" bestFit="1" customWidth="1"/>
    <col min="12808" max="12808" width="0" style="75" hidden="1" customWidth="1"/>
    <col min="12809" max="13057" width="9.140625" style="75"/>
    <col min="13058" max="13058" width="55.28515625" style="75" bestFit="1" customWidth="1"/>
    <col min="13059" max="13059" width="0" style="75" hidden="1" customWidth="1"/>
    <col min="13060" max="13060" width="21.85546875" style="75" bestFit="1" customWidth="1"/>
    <col min="13061" max="13061" width="0" style="75" hidden="1" customWidth="1"/>
    <col min="13062" max="13062" width="21.42578125" style="75" customWidth="1"/>
    <col min="13063" max="13063" width="10" style="75" bestFit="1" customWidth="1"/>
    <col min="13064" max="13064" width="0" style="75" hidden="1" customWidth="1"/>
    <col min="13065" max="13313" width="9.140625" style="75"/>
    <col min="13314" max="13314" width="55.28515625" style="75" bestFit="1" customWidth="1"/>
    <col min="13315" max="13315" width="0" style="75" hidden="1" customWidth="1"/>
    <col min="13316" max="13316" width="21.85546875" style="75" bestFit="1" customWidth="1"/>
    <col min="13317" max="13317" width="0" style="75" hidden="1" customWidth="1"/>
    <col min="13318" max="13318" width="21.42578125" style="75" customWidth="1"/>
    <col min="13319" max="13319" width="10" style="75" bestFit="1" customWidth="1"/>
    <col min="13320" max="13320" width="0" style="75" hidden="1" customWidth="1"/>
    <col min="13321" max="13569" width="9.140625" style="75"/>
    <col min="13570" max="13570" width="55.28515625" style="75" bestFit="1" customWidth="1"/>
    <col min="13571" max="13571" width="0" style="75" hidden="1" customWidth="1"/>
    <col min="13572" max="13572" width="21.85546875" style="75" bestFit="1" customWidth="1"/>
    <col min="13573" max="13573" width="0" style="75" hidden="1" customWidth="1"/>
    <col min="13574" max="13574" width="21.42578125" style="75" customWidth="1"/>
    <col min="13575" max="13575" width="10" style="75" bestFit="1" customWidth="1"/>
    <col min="13576" max="13576" width="0" style="75" hidden="1" customWidth="1"/>
    <col min="13577" max="13825" width="9.140625" style="75"/>
    <col min="13826" max="13826" width="55.28515625" style="75" bestFit="1" customWidth="1"/>
    <col min="13827" max="13827" width="0" style="75" hidden="1" customWidth="1"/>
    <col min="13828" max="13828" width="21.85546875" style="75" bestFit="1" customWidth="1"/>
    <col min="13829" max="13829" width="0" style="75" hidden="1" customWidth="1"/>
    <col min="13830" max="13830" width="21.42578125" style="75" customWidth="1"/>
    <col min="13831" max="13831" width="10" style="75" bestFit="1" customWidth="1"/>
    <col min="13832" max="13832" width="0" style="75" hidden="1" customWidth="1"/>
    <col min="13833" max="14081" width="9.140625" style="75"/>
    <col min="14082" max="14082" width="55.28515625" style="75" bestFit="1" customWidth="1"/>
    <col min="14083" max="14083" width="0" style="75" hidden="1" customWidth="1"/>
    <col min="14084" max="14084" width="21.85546875" style="75" bestFit="1" customWidth="1"/>
    <col min="14085" max="14085" width="0" style="75" hidden="1" customWidth="1"/>
    <col min="14086" max="14086" width="21.42578125" style="75" customWidth="1"/>
    <col min="14087" max="14087" width="10" style="75" bestFit="1" customWidth="1"/>
    <col min="14088" max="14088" width="0" style="75" hidden="1" customWidth="1"/>
    <col min="14089" max="14337" width="9.140625" style="75"/>
    <col min="14338" max="14338" width="55.28515625" style="75" bestFit="1" customWidth="1"/>
    <col min="14339" max="14339" width="0" style="75" hidden="1" customWidth="1"/>
    <col min="14340" max="14340" width="21.85546875" style="75" bestFit="1" customWidth="1"/>
    <col min="14341" max="14341" width="0" style="75" hidden="1" customWidth="1"/>
    <col min="14342" max="14342" width="21.42578125" style="75" customWidth="1"/>
    <col min="14343" max="14343" width="10" style="75" bestFit="1" customWidth="1"/>
    <col min="14344" max="14344" width="0" style="75" hidden="1" customWidth="1"/>
    <col min="14345" max="14593" width="9.140625" style="75"/>
    <col min="14594" max="14594" width="55.28515625" style="75" bestFit="1" customWidth="1"/>
    <col min="14595" max="14595" width="0" style="75" hidden="1" customWidth="1"/>
    <col min="14596" max="14596" width="21.85546875" style="75" bestFit="1" customWidth="1"/>
    <col min="14597" max="14597" width="0" style="75" hidden="1" customWidth="1"/>
    <col min="14598" max="14598" width="21.42578125" style="75" customWidth="1"/>
    <col min="14599" max="14599" width="10" style="75" bestFit="1" customWidth="1"/>
    <col min="14600" max="14600" width="0" style="75" hidden="1" customWidth="1"/>
    <col min="14601" max="14849" width="9.140625" style="75"/>
    <col min="14850" max="14850" width="55.28515625" style="75" bestFit="1" customWidth="1"/>
    <col min="14851" max="14851" width="0" style="75" hidden="1" customWidth="1"/>
    <col min="14852" max="14852" width="21.85546875" style="75" bestFit="1" customWidth="1"/>
    <col min="14853" max="14853" width="0" style="75" hidden="1" customWidth="1"/>
    <col min="14854" max="14854" width="21.42578125" style="75" customWidth="1"/>
    <col min="14855" max="14855" width="10" style="75" bestFit="1" customWidth="1"/>
    <col min="14856" max="14856" width="0" style="75" hidden="1" customWidth="1"/>
    <col min="14857" max="15105" width="9.140625" style="75"/>
    <col min="15106" max="15106" width="55.28515625" style="75" bestFit="1" customWidth="1"/>
    <col min="15107" max="15107" width="0" style="75" hidden="1" customWidth="1"/>
    <col min="15108" max="15108" width="21.85546875" style="75" bestFit="1" customWidth="1"/>
    <col min="15109" max="15109" width="0" style="75" hidden="1" customWidth="1"/>
    <col min="15110" max="15110" width="21.42578125" style="75" customWidth="1"/>
    <col min="15111" max="15111" width="10" style="75" bestFit="1" customWidth="1"/>
    <col min="15112" max="15112" width="0" style="75" hidden="1" customWidth="1"/>
    <col min="15113" max="15361" width="9.140625" style="75"/>
    <col min="15362" max="15362" width="55.28515625" style="75" bestFit="1" customWidth="1"/>
    <col min="15363" max="15363" width="0" style="75" hidden="1" customWidth="1"/>
    <col min="15364" max="15364" width="21.85546875" style="75" bestFit="1" customWidth="1"/>
    <col min="15365" max="15365" width="0" style="75" hidden="1" customWidth="1"/>
    <col min="15366" max="15366" width="21.42578125" style="75" customWidth="1"/>
    <col min="15367" max="15367" width="10" style="75" bestFit="1" customWidth="1"/>
    <col min="15368" max="15368" width="0" style="75" hidden="1" customWidth="1"/>
    <col min="15369" max="15617" width="9.140625" style="75"/>
    <col min="15618" max="15618" width="55.28515625" style="75" bestFit="1" customWidth="1"/>
    <col min="15619" max="15619" width="0" style="75" hidden="1" customWidth="1"/>
    <col min="15620" max="15620" width="21.85546875" style="75" bestFit="1" customWidth="1"/>
    <col min="15621" max="15621" width="0" style="75" hidden="1" customWidth="1"/>
    <col min="15622" max="15622" width="21.42578125" style="75" customWidth="1"/>
    <col min="15623" max="15623" width="10" style="75" bestFit="1" customWidth="1"/>
    <col min="15624" max="15624" width="0" style="75" hidden="1" customWidth="1"/>
    <col min="15625" max="15873" width="9.140625" style="75"/>
    <col min="15874" max="15874" width="55.28515625" style="75" bestFit="1" customWidth="1"/>
    <col min="15875" max="15875" width="0" style="75" hidden="1" customWidth="1"/>
    <col min="15876" max="15876" width="21.85546875" style="75" bestFit="1" customWidth="1"/>
    <col min="15877" max="15877" width="0" style="75" hidden="1" customWidth="1"/>
    <col min="15878" max="15878" width="21.42578125" style="75" customWidth="1"/>
    <col min="15879" max="15879" width="10" style="75" bestFit="1" customWidth="1"/>
    <col min="15880" max="15880" width="0" style="75" hidden="1" customWidth="1"/>
    <col min="15881" max="16129" width="9.140625" style="75"/>
    <col min="16130" max="16130" width="55.28515625" style="75" bestFit="1" customWidth="1"/>
    <col min="16131" max="16131" width="0" style="75" hidden="1" customWidth="1"/>
    <col min="16132" max="16132" width="21.85546875" style="75" bestFit="1" customWidth="1"/>
    <col min="16133" max="16133" width="0" style="75" hidden="1" customWidth="1"/>
    <col min="16134" max="16134" width="21.42578125" style="75" customWidth="1"/>
    <col min="16135" max="16135" width="10" style="75" bestFit="1" customWidth="1"/>
    <col min="16136" max="16136" width="0" style="75" hidden="1" customWidth="1"/>
    <col min="16137" max="16384" width="9.140625" style="75"/>
  </cols>
  <sheetData>
    <row r="1" spans="1:8" ht="15.75" customHeight="1" x14ac:dyDescent="0.25">
      <c r="A1" s="582" t="s">
        <v>0</v>
      </c>
      <c r="B1" s="582"/>
      <c r="C1" s="582"/>
      <c r="D1" s="582"/>
      <c r="E1" s="582"/>
      <c r="F1" s="582"/>
      <c r="G1" s="582"/>
      <c r="H1" s="582"/>
    </row>
    <row r="2" spans="1:8" ht="15.75" customHeight="1" x14ac:dyDescent="0.25">
      <c r="A2" s="583" t="s">
        <v>287</v>
      </c>
      <c r="B2" s="583"/>
      <c r="C2" s="583"/>
      <c r="D2" s="583"/>
      <c r="E2" s="583"/>
      <c r="F2" s="583"/>
      <c r="G2" s="583"/>
      <c r="H2" s="583"/>
    </row>
    <row r="3" spans="1:8" ht="15.75" customHeight="1" x14ac:dyDescent="0.25">
      <c r="A3" s="583"/>
      <c r="B3" s="583"/>
      <c r="C3" s="583"/>
      <c r="D3" s="583"/>
      <c r="E3" s="583"/>
      <c r="F3" s="583"/>
      <c r="G3" s="583"/>
      <c r="H3" s="583"/>
    </row>
    <row r="4" spans="1:8" ht="36.75" customHeight="1" x14ac:dyDescent="0.25">
      <c r="A4" s="582" t="s">
        <v>387</v>
      </c>
      <c r="B4" s="582"/>
      <c r="C4" s="582"/>
      <c r="D4" s="582"/>
      <c r="E4" s="582"/>
      <c r="F4" s="582"/>
      <c r="G4" s="582"/>
      <c r="H4" s="582"/>
    </row>
    <row r="5" spans="1:8" x14ac:dyDescent="0.25">
      <c r="B5" s="584"/>
      <c r="C5" s="584"/>
      <c r="D5" s="584"/>
      <c r="E5" s="584"/>
      <c r="F5" s="584"/>
      <c r="G5" s="584"/>
      <c r="H5" s="584"/>
    </row>
    <row r="6" spans="1:8" hidden="1" x14ac:dyDescent="0.25">
      <c r="A6" s="77"/>
      <c r="B6" s="78"/>
      <c r="C6" s="78"/>
      <c r="D6" s="78"/>
      <c r="E6" s="78"/>
      <c r="F6" s="79"/>
      <c r="G6" s="78"/>
      <c r="H6" s="78"/>
    </row>
    <row r="7" spans="1:8" hidden="1" x14ac:dyDescent="0.25">
      <c r="A7" s="585" t="s">
        <v>2</v>
      </c>
      <c r="B7" s="586"/>
      <c r="C7" s="586"/>
      <c r="D7" s="586"/>
      <c r="E7" s="586"/>
      <c r="F7" s="586"/>
      <c r="G7" s="586"/>
      <c r="H7" s="586"/>
    </row>
    <row r="8" spans="1:8" ht="63" hidden="1" x14ac:dyDescent="0.25">
      <c r="A8" s="30" t="s">
        <v>3</v>
      </c>
      <c r="B8" s="30" t="s">
        <v>4</v>
      </c>
      <c r="C8" s="35" t="s">
        <v>6</v>
      </c>
      <c r="D8" s="35"/>
      <c r="E8" s="35"/>
      <c r="F8" s="30" t="s">
        <v>288</v>
      </c>
      <c r="G8" s="31" t="s">
        <v>289</v>
      </c>
      <c r="H8" s="31" t="s">
        <v>290</v>
      </c>
    </row>
    <row r="9" spans="1:8" hidden="1" x14ac:dyDescent="0.25">
      <c r="A9" s="587">
        <v>1</v>
      </c>
      <c r="B9" s="588"/>
      <c r="C9" s="589"/>
      <c r="D9" s="80"/>
      <c r="E9" s="80"/>
      <c r="F9" s="73">
        <v>2</v>
      </c>
      <c r="G9" s="74">
        <v>3</v>
      </c>
      <c r="H9" s="74">
        <v>4</v>
      </c>
    </row>
    <row r="10" spans="1:8" hidden="1" x14ac:dyDescent="0.25">
      <c r="A10" s="36">
        <v>6</v>
      </c>
      <c r="B10" s="37"/>
      <c r="C10" s="36"/>
      <c r="D10" s="36"/>
      <c r="E10" s="36"/>
      <c r="F10" s="38">
        <f>F11+F26+F30+F33+F40+F43</f>
        <v>24659145.79600504</v>
      </c>
      <c r="G10" s="38">
        <f>G11+G26+G30+G33+G40+G43</f>
        <v>63888652.490000002</v>
      </c>
      <c r="H10" s="38">
        <f>H11+H26+H30+H33+H40+H43</f>
        <v>30834918.75</v>
      </c>
    </row>
    <row r="11" spans="1:8" hidden="1" x14ac:dyDescent="0.25">
      <c r="A11" s="39"/>
      <c r="B11" s="40">
        <v>63</v>
      </c>
      <c r="C11" s="41" t="s">
        <v>41</v>
      </c>
      <c r="D11" s="41"/>
      <c r="E11" s="41"/>
      <c r="F11" s="42">
        <f>F12+F14+F17+F19+F21+F24</f>
        <v>324811.46725064697</v>
      </c>
      <c r="G11" s="42">
        <f>SUM(G12,G14,G17,G19,G21,G24)</f>
        <v>639378.8600000001</v>
      </c>
      <c r="H11" s="42">
        <f>SUM(H12,H14,H17,H19,H21,H24)</f>
        <v>1892796.77</v>
      </c>
    </row>
    <row r="12" spans="1:8" hidden="1" x14ac:dyDescent="0.25">
      <c r="A12" s="39"/>
      <c r="B12" s="45">
        <v>632</v>
      </c>
      <c r="C12" s="46" t="s">
        <v>241</v>
      </c>
      <c r="D12" s="46"/>
      <c r="E12" s="46"/>
      <c r="F12" s="47">
        <f>SUM(F13)</f>
        <v>0</v>
      </c>
      <c r="G12" s="47">
        <f>SUM(G13)</f>
        <v>0</v>
      </c>
      <c r="H12" s="47">
        <f>SUM(H13)</f>
        <v>0</v>
      </c>
    </row>
    <row r="13" spans="1:8" hidden="1" x14ac:dyDescent="0.25">
      <c r="A13" s="39"/>
      <c r="B13" s="48">
        <v>6324</v>
      </c>
      <c r="C13" s="49" t="s">
        <v>242</v>
      </c>
      <c r="D13" s="49"/>
      <c r="E13" s="49"/>
      <c r="F13" s="81">
        <v>0</v>
      </c>
      <c r="G13" s="82">
        <v>0</v>
      </c>
      <c r="H13" s="82">
        <v>0</v>
      </c>
    </row>
    <row r="14" spans="1:8" hidden="1" x14ac:dyDescent="0.25">
      <c r="A14" s="39"/>
      <c r="B14" s="45">
        <v>633</v>
      </c>
      <c r="C14" s="51" t="s">
        <v>243</v>
      </c>
      <c r="D14" s="51"/>
      <c r="E14" s="51"/>
      <c r="F14" s="47">
        <f>SUM(F15:F16)</f>
        <v>50556.108567257281</v>
      </c>
      <c r="G14" s="47">
        <f>SUM(G15:G16)</f>
        <v>0</v>
      </c>
      <c r="H14" s="47">
        <f>SUM(H15:H16)</f>
        <v>0</v>
      </c>
    </row>
    <row r="15" spans="1:8" hidden="1" x14ac:dyDescent="0.25">
      <c r="A15" s="39"/>
      <c r="B15" s="55">
        <v>6331</v>
      </c>
      <c r="C15" s="83" t="s">
        <v>245</v>
      </c>
      <c r="D15" s="83"/>
      <c r="E15" s="83"/>
      <c r="F15" s="81">
        <f>380915/7.5345</f>
        <v>50556.108567257281</v>
      </c>
      <c r="G15" s="82">
        <v>0</v>
      </c>
      <c r="H15" s="82">
        <v>0</v>
      </c>
    </row>
    <row r="16" spans="1:8" hidden="1" x14ac:dyDescent="0.25">
      <c r="A16" s="39"/>
      <c r="B16" s="55">
        <v>6332</v>
      </c>
      <c r="C16" s="83" t="s">
        <v>247</v>
      </c>
      <c r="D16" s="83"/>
      <c r="E16" s="83"/>
      <c r="F16" s="81">
        <v>0</v>
      </c>
      <c r="G16" s="81">
        <v>0</v>
      </c>
      <c r="H16" s="81">
        <v>0</v>
      </c>
    </row>
    <row r="17" spans="1:8" hidden="1" x14ac:dyDescent="0.25">
      <c r="A17" s="39"/>
      <c r="B17" s="39">
        <v>634</v>
      </c>
      <c r="C17" s="84" t="s">
        <v>24</v>
      </c>
      <c r="D17" s="84"/>
      <c r="E17" s="84"/>
      <c r="F17" s="85">
        <f>SUM(F18)</f>
        <v>111981.9496980556</v>
      </c>
      <c r="G17" s="85">
        <f>SUM(G18)</f>
        <v>366500.76</v>
      </c>
      <c r="H17" s="85">
        <f>SUM(H18)</f>
        <v>1829292.75</v>
      </c>
    </row>
    <row r="18" spans="1:8" hidden="1" x14ac:dyDescent="0.25">
      <c r="A18" s="39"/>
      <c r="B18" s="55">
        <v>6341</v>
      </c>
      <c r="C18" s="83" t="s">
        <v>26</v>
      </c>
      <c r="D18" s="83"/>
      <c r="E18" s="83"/>
      <c r="F18" s="81">
        <f>843728/7.5345</f>
        <v>111981.9496980556</v>
      </c>
      <c r="G18" s="81">
        <v>366500.76</v>
      </c>
      <c r="H18" s="81">
        <v>1829292.75</v>
      </c>
    </row>
    <row r="19" spans="1:8" ht="17.25" hidden="1" customHeight="1" x14ac:dyDescent="0.25">
      <c r="A19" s="39"/>
      <c r="B19" s="39">
        <v>636</v>
      </c>
      <c r="C19" s="57" t="s">
        <v>249</v>
      </c>
      <c r="D19" s="57"/>
      <c r="E19" s="57"/>
      <c r="F19" s="85">
        <f>SUM(F20)</f>
        <v>54857.12389674165</v>
      </c>
      <c r="G19" s="85">
        <f>SUM(G20)</f>
        <v>796.34</v>
      </c>
      <c r="H19" s="85">
        <f>SUM(H20)</f>
        <v>45490.31</v>
      </c>
    </row>
    <row r="20" spans="1:8" hidden="1" x14ac:dyDescent="0.25">
      <c r="A20" s="39"/>
      <c r="B20" s="55">
        <v>6361</v>
      </c>
      <c r="C20" s="86" t="s">
        <v>250</v>
      </c>
      <c r="D20" s="86"/>
      <c r="E20" s="86"/>
      <c r="F20" s="81">
        <f>413321/7.5345</f>
        <v>54857.12389674165</v>
      </c>
      <c r="G20" s="81">
        <f>796.34</f>
        <v>796.34</v>
      </c>
      <c r="H20" s="81">
        <v>45490.31</v>
      </c>
    </row>
    <row r="21" spans="1:8" hidden="1" x14ac:dyDescent="0.25">
      <c r="A21" s="39"/>
      <c r="B21" s="39">
        <v>638</v>
      </c>
      <c r="C21" s="87" t="s">
        <v>251</v>
      </c>
      <c r="D21" s="87"/>
      <c r="E21" s="87"/>
      <c r="F21" s="85">
        <f>SUM(F22:F23)</f>
        <v>107244.80722012077</v>
      </c>
      <c r="G21" s="85">
        <f>SUM(G23)</f>
        <v>272081.76</v>
      </c>
      <c r="H21" s="85">
        <f>SUM(H23)</f>
        <v>18013.71</v>
      </c>
    </row>
    <row r="22" spans="1:8" hidden="1" x14ac:dyDescent="0.25">
      <c r="A22" s="55"/>
      <c r="B22" s="55">
        <v>6381</v>
      </c>
      <c r="C22" s="86" t="s">
        <v>34</v>
      </c>
      <c r="D22" s="86"/>
      <c r="E22" s="86"/>
      <c r="F22" s="81">
        <f>493624/7.5345</f>
        <v>65515.163580861365</v>
      </c>
      <c r="G22" s="81">
        <v>0</v>
      </c>
      <c r="H22" s="81">
        <v>0</v>
      </c>
    </row>
    <row r="23" spans="1:8" hidden="1" x14ac:dyDescent="0.25">
      <c r="A23" s="39"/>
      <c r="B23" s="55">
        <v>6382</v>
      </c>
      <c r="C23" s="86" t="s">
        <v>252</v>
      </c>
      <c r="D23" s="86"/>
      <c r="E23" s="86"/>
      <c r="F23" s="81">
        <f>314412/7.5345</f>
        <v>41729.643639259404</v>
      </c>
      <c r="G23" s="81">
        <v>272081.76</v>
      </c>
      <c r="H23" s="81">
        <v>18013.71</v>
      </c>
    </row>
    <row r="24" spans="1:8" hidden="1" x14ac:dyDescent="0.25">
      <c r="A24" s="39"/>
      <c r="B24" s="39">
        <v>639</v>
      </c>
      <c r="C24" s="87" t="s">
        <v>253</v>
      </c>
      <c r="D24" s="87"/>
      <c r="E24" s="87"/>
      <c r="F24" s="85">
        <f>SUM(F25)</f>
        <v>171.47786847169687</v>
      </c>
      <c r="G24" s="85">
        <f>SUM(G25)</f>
        <v>0</v>
      </c>
      <c r="H24" s="85">
        <f>SUM(H25)</f>
        <v>0</v>
      </c>
    </row>
    <row r="25" spans="1:8" hidden="1" x14ac:dyDescent="0.25">
      <c r="A25" s="39"/>
      <c r="B25" s="55">
        <v>6391</v>
      </c>
      <c r="C25" s="86" t="s">
        <v>254</v>
      </c>
      <c r="D25" s="86"/>
      <c r="E25" s="86"/>
      <c r="F25" s="81">
        <f>1292/7.5345</f>
        <v>171.47786847169687</v>
      </c>
      <c r="G25" s="81">
        <v>0</v>
      </c>
      <c r="H25" s="81">
        <v>0</v>
      </c>
    </row>
    <row r="26" spans="1:8" hidden="1" x14ac:dyDescent="0.25">
      <c r="A26" s="39"/>
      <c r="B26" s="59">
        <v>64</v>
      </c>
      <c r="C26" s="88" t="s">
        <v>42</v>
      </c>
      <c r="D26" s="88"/>
      <c r="E26" s="88"/>
      <c r="F26" s="89">
        <f>SUM(F27:F29)</f>
        <v>50144.535138363528</v>
      </c>
      <c r="G26" s="89">
        <f>SUM(G27:G29)</f>
        <v>120462.42</v>
      </c>
      <c r="H26" s="89">
        <f>SUM(H27:H29)</f>
        <v>55180.92</v>
      </c>
    </row>
    <row r="27" spans="1:8" hidden="1" x14ac:dyDescent="0.25">
      <c r="A27" s="39"/>
      <c r="B27" s="55">
        <v>6413</v>
      </c>
      <c r="C27" s="83" t="s">
        <v>255</v>
      </c>
      <c r="D27" s="83"/>
      <c r="E27" s="83"/>
      <c r="F27" s="81">
        <f>439/7.5345</f>
        <v>58.265312894020838</v>
      </c>
      <c r="G27" s="81">
        <v>746.44</v>
      </c>
      <c r="H27" s="81">
        <v>204.07</v>
      </c>
    </row>
    <row r="28" spans="1:8" hidden="1" x14ac:dyDescent="0.25">
      <c r="A28" s="39"/>
      <c r="B28" s="55">
        <v>6419</v>
      </c>
      <c r="C28" s="83" t="s">
        <v>256</v>
      </c>
      <c r="D28" s="83"/>
      <c r="E28" s="83"/>
      <c r="F28" s="81">
        <f>376342/7.5345</f>
        <v>49949.167164377199</v>
      </c>
      <c r="G28" s="81">
        <v>119450.53</v>
      </c>
      <c r="H28" s="81">
        <v>54839.75</v>
      </c>
    </row>
    <row r="29" spans="1:8" hidden="1" x14ac:dyDescent="0.25">
      <c r="A29" s="39"/>
      <c r="B29" s="55">
        <v>6429</v>
      </c>
      <c r="C29" s="83" t="s">
        <v>58</v>
      </c>
      <c r="D29" s="83"/>
      <c r="E29" s="83"/>
      <c r="F29" s="81">
        <f>1033/7.5345</f>
        <v>137.10266109230869</v>
      </c>
      <c r="G29" s="81">
        <f>265.45</f>
        <v>265.45</v>
      </c>
      <c r="H29" s="81">
        <v>137.1</v>
      </c>
    </row>
    <row r="30" spans="1:8" hidden="1" x14ac:dyDescent="0.25">
      <c r="A30" s="39"/>
      <c r="B30" s="59">
        <v>65</v>
      </c>
      <c r="C30" s="88" t="s">
        <v>46</v>
      </c>
      <c r="D30" s="88"/>
      <c r="E30" s="88"/>
      <c r="F30" s="89">
        <f>F31</f>
        <v>1523828.3894087197</v>
      </c>
      <c r="G30" s="89">
        <f>SUM(G31)</f>
        <v>6950029.8600000003</v>
      </c>
      <c r="H30" s="89">
        <f>SUM(H31)</f>
        <v>1963072.34</v>
      </c>
    </row>
    <row r="31" spans="1:8" hidden="1" x14ac:dyDescent="0.25">
      <c r="A31" s="39"/>
      <c r="B31" s="39">
        <v>652</v>
      </c>
      <c r="C31" s="84" t="s">
        <v>46</v>
      </c>
      <c r="D31" s="84"/>
      <c r="E31" s="84"/>
      <c r="F31" s="85">
        <f>SUM(F32)</f>
        <v>1523828.3894087197</v>
      </c>
      <c r="G31" s="85">
        <f>SUM(G32)</f>
        <v>6950029.8600000003</v>
      </c>
      <c r="H31" s="85">
        <f>SUM(H32)</f>
        <v>1963072.34</v>
      </c>
    </row>
    <row r="32" spans="1:8" hidden="1" x14ac:dyDescent="0.25">
      <c r="A32" s="39"/>
      <c r="B32" s="55">
        <v>6526</v>
      </c>
      <c r="C32" s="83" t="s">
        <v>47</v>
      </c>
      <c r="D32" s="83"/>
      <c r="E32" s="83"/>
      <c r="F32" s="81">
        <f>11481285/7.5345</f>
        <v>1523828.3894087197</v>
      </c>
      <c r="G32" s="81">
        <f>6950029.86</f>
        <v>6950029.8600000003</v>
      </c>
      <c r="H32" s="81">
        <v>1963072.34</v>
      </c>
    </row>
    <row r="33" spans="1:8" hidden="1" x14ac:dyDescent="0.25">
      <c r="A33" s="39"/>
      <c r="B33" s="59">
        <v>66</v>
      </c>
      <c r="C33" s="88" t="s">
        <v>257</v>
      </c>
      <c r="D33" s="88"/>
      <c r="E33" s="88"/>
      <c r="F33" s="89">
        <f>F34+F37</f>
        <v>1701559.2275532549</v>
      </c>
      <c r="G33" s="89">
        <f>SUM(G34,G37)</f>
        <v>3641484.8899999997</v>
      </c>
      <c r="H33" s="89">
        <f>SUM(H34,H37)</f>
        <v>1739052.02</v>
      </c>
    </row>
    <row r="34" spans="1:8" hidden="1" x14ac:dyDescent="0.25">
      <c r="A34" s="39"/>
      <c r="B34" s="39">
        <v>661</v>
      </c>
      <c r="C34" s="87" t="s">
        <v>258</v>
      </c>
      <c r="D34" s="87"/>
      <c r="E34" s="87"/>
      <c r="F34" s="85">
        <f>SUM(F35:F36)</f>
        <v>1677912.004778021</v>
      </c>
      <c r="G34" s="85">
        <f>SUM(G36,G35)</f>
        <v>3521370.76</v>
      </c>
      <c r="H34" s="85">
        <f>SUM(H36,H35)</f>
        <v>1704828.02</v>
      </c>
    </row>
    <row r="35" spans="1:8" hidden="1" x14ac:dyDescent="0.25">
      <c r="A35" s="55"/>
      <c r="B35" s="55">
        <v>6614</v>
      </c>
      <c r="C35" s="86" t="s">
        <v>259</v>
      </c>
      <c r="D35" s="86"/>
      <c r="E35" s="86"/>
      <c r="F35" s="81">
        <f>6216809/7.5345</f>
        <v>825112.34985732299</v>
      </c>
      <c r="G35" s="81">
        <v>1725396.51</v>
      </c>
      <c r="H35" s="81">
        <v>916985.05</v>
      </c>
    </row>
    <row r="36" spans="1:8" hidden="1" x14ac:dyDescent="0.25">
      <c r="A36" s="39"/>
      <c r="B36" s="55">
        <v>6615</v>
      </c>
      <c r="C36" s="83" t="s">
        <v>65</v>
      </c>
      <c r="D36" s="83"/>
      <c r="E36" s="83"/>
      <c r="F36" s="81">
        <f>6425419/7.5345</f>
        <v>852799.65492069803</v>
      </c>
      <c r="G36" s="81">
        <v>1795974.25</v>
      </c>
      <c r="H36" s="81">
        <v>787842.97</v>
      </c>
    </row>
    <row r="37" spans="1:8" hidden="1" x14ac:dyDescent="0.25">
      <c r="A37" s="39"/>
      <c r="B37" s="39">
        <v>663</v>
      </c>
      <c r="C37" s="84" t="s">
        <v>260</v>
      </c>
      <c r="D37" s="84"/>
      <c r="E37" s="84"/>
      <c r="F37" s="85">
        <f>SUM(F38:F39)</f>
        <v>23647.222775233924</v>
      </c>
      <c r="G37" s="85">
        <f>SUM(G38:G39)</f>
        <v>120114.13</v>
      </c>
      <c r="H37" s="85">
        <f>SUM(H38:H39)</f>
        <v>34224</v>
      </c>
    </row>
    <row r="38" spans="1:8" hidden="1" x14ac:dyDescent="0.25">
      <c r="A38" s="39"/>
      <c r="B38" s="55">
        <v>6631</v>
      </c>
      <c r="C38" s="83" t="s">
        <v>69</v>
      </c>
      <c r="D38" s="83"/>
      <c r="E38" s="83"/>
      <c r="F38" s="81">
        <f>5000/7.5345</f>
        <v>663.61404207313024</v>
      </c>
      <c r="G38" s="81">
        <v>53752.73</v>
      </c>
      <c r="H38" s="81">
        <f>5600+1310</f>
        <v>6910</v>
      </c>
    </row>
    <row r="39" spans="1:8" hidden="1" x14ac:dyDescent="0.25">
      <c r="A39" s="39"/>
      <c r="B39" s="55">
        <v>6632</v>
      </c>
      <c r="C39" s="83" t="s">
        <v>71</v>
      </c>
      <c r="D39" s="83"/>
      <c r="E39" s="83"/>
      <c r="F39" s="81">
        <f>173170/7.5345</f>
        <v>22983.608733160792</v>
      </c>
      <c r="G39" s="81">
        <v>66361.399999999994</v>
      </c>
      <c r="H39" s="81">
        <v>27314</v>
      </c>
    </row>
    <row r="40" spans="1:8" s="90" customFormat="1" hidden="1" x14ac:dyDescent="0.25">
      <c r="A40" s="39"/>
      <c r="B40" s="59">
        <v>67</v>
      </c>
      <c r="C40" s="88" t="s">
        <v>261</v>
      </c>
      <c r="D40" s="88"/>
      <c r="E40" s="88"/>
      <c r="F40" s="89">
        <f t="shared" ref="F40:H41" si="0">SUM(F41)</f>
        <v>20985599.575287011</v>
      </c>
      <c r="G40" s="89">
        <f t="shared" si="0"/>
        <v>52367289.020000003</v>
      </c>
      <c r="H40" s="89">
        <f t="shared" si="0"/>
        <v>24656056.140000001</v>
      </c>
    </row>
    <row r="41" spans="1:8" hidden="1" x14ac:dyDescent="0.25">
      <c r="A41" s="39"/>
      <c r="B41" s="39">
        <v>673</v>
      </c>
      <c r="C41" s="84" t="s">
        <v>262</v>
      </c>
      <c r="D41" s="84"/>
      <c r="E41" s="84"/>
      <c r="F41" s="85">
        <f t="shared" si="0"/>
        <v>20985599.575287011</v>
      </c>
      <c r="G41" s="85">
        <f t="shared" si="0"/>
        <v>52367289.020000003</v>
      </c>
      <c r="H41" s="85">
        <f t="shared" si="0"/>
        <v>24656056.140000001</v>
      </c>
    </row>
    <row r="42" spans="1:8" hidden="1" x14ac:dyDescent="0.25">
      <c r="A42" s="39"/>
      <c r="B42" s="55">
        <v>6731</v>
      </c>
      <c r="C42" s="83" t="s">
        <v>49</v>
      </c>
      <c r="D42" s="83"/>
      <c r="E42" s="83"/>
      <c r="F42" s="81">
        <f>158116000/7.5345</f>
        <v>20985599.575287011</v>
      </c>
      <c r="G42" s="81">
        <v>52367289.020000003</v>
      </c>
      <c r="H42" s="81">
        <v>24656056.140000001</v>
      </c>
    </row>
    <row r="43" spans="1:8" hidden="1" x14ac:dyDescent="0.25">
      <c r="A43" s="39"/>
      <c r="B43" s="59">
        <v>68</v>
      </c>
      <c r="C43" s="67" t="s">
        <v>52</v>
      </c>
      <c r="D43" s="67"/>
      <c r="E43" s="67"/>
      <c r="F43" s="89">
        <f t="shared" ref="F43:H44" si="1">SUM(F44)</f>
        <v>73202.601367044917</v>
      </c>
      <c r="G43" s="89">
        <f t="shared" si="1"/>
        <v>170007.44</v>
      </c>
      <c r="H43" s="89">
        <f t="shared" si="1"/>
        <v>528760.56000000006</v>
      </c>
    </row>
    <row r="44" spans="1:8" hidden="1" x14ac:dyDescent="0.25">
      <c r="A44" s="39"/>
      <c r="B44" s="39">
        <v>683</v>
      </c>
      <c r="C44" s="84" t="s">
        <v>54</v>
      </c>
      <c r="D44" s="84"/>
      <c r="E44" s="84"/>
      <c r="F44" s="85">
        <f t="shared" si="1"/>
        <v>73202.601367044917</v>
      </c>
      <c r="G44" s="85">
        <f t="shared" si="1"/>
        <v>170007.44</v>
      </c>
      <c r="H44" s="85">
        <f t="shared" si="1"/>
        <v>528760.56000000006</v>
      </c>
    </row>
    <row r="45" spans="1:8" hidden="1" x14ac:dyDescent="0.25">
      <c r="A45" s="39"/>
      <c r="B45" s="55">
        <v>6831</v>
      </c>
      <c r="C45" s="83" t="s">
        <v>54</v>
      </c>
      <c r="D45" s="83"/>
      <c r="E45" s="83"/>
      <c r="F45" s="81">
        <f>551545/7.5345</f>
        <v>73202.601367044917</v>
      </c>
      <c r="G45" s="81">
        <v>170007.44</v>
      </c>
      <c r="H45" s="81">
        <v>528760.56000000006</v>
      </c>
    </row>
    <row r="46" spans="1:8" hidden="1" x14ac:dyDescent="0.25">
      <c r="A46" s="36">
        <v>7</v>
      </c>
      <c r="B46" s="36"/>
      <c r="C46" s="68" t="s">
        <v>76</v>
      </c>
      <c r="D46" s="68"/>
      <c r="E46" s="68"/>
      <c r="F46" s="91">
        <f>F48</f>
        <v>206.78213550998737</v>
      </c>
      <c r="G46" s="91">
        <f>SUM(G47)</f>
        <v>7432.4800000000005</v>
      </c>
      <c r="H46" s="91">
        <f>SUM(H47)</f>
        <v>18031</v>
      </c>
    </row>
    <row r="47" spans="1:8" hidden="1" x14ac:dyDescent="0.25">
      <c r="A47" s="39"/>
      <c r="B47" s="59">
        <v>72</v>
      </c>
      <c r="C47" s="70" t="s">
        <v>77</v>
      </c>
      <c r="D47" s="70"/>
      <c r="E47" s="70"/>
      <c r="F47" s="89">
        <f>SUM(F48)</f>
        <v>206.78213550998737</v>
      </c>
      <c r="G47" s="89">
        <f>SUM(G48)</f>
        <v>7432.4800000000005</v>
      </c>
      <c r="H47" s="89">
        <f>SUM(H48)</f>
        <v>18031</v>
      </c>
    </row>
    <row r="48" spans="1:8" hidden="1" x14ac:dyDescent="0.25">
      <c r="A48" s="39"/>
      <c r="B48" s="39">
        <v>721</v>
      </c>
      <c r="C48" s="84" t="s">
        <v>78</v>
      </c>
      <c r="D48" s="84"/>
      <c r="E48" s="84"/>
      <c r="F48" s="85">
        <f>SUM(F49)</f>
        <v>206.78213550998737</v>
      </c>
      <c r="G48" s="85">
        <f>SUM(G49,G50)</f>
        <v>7432.4800000000005</v>
      </c>
      <c r="H48" s="85">
        <f>SUM(H49,H50)</f>
        <v>18031</v>
      </c>
    </row>
    <row r="49" spans="1:8" hidden="1" x14ac:dyDescent="0.25">
      <c r="A49" s="39"/>
      <c r="B49" s="55">
        <v>7211</v>
      </c>
      <c r="C49" s="83" t="s">
        <v>79</v>
      </c>
      <c r="D49" s="83"/>
      <c r="E49" s="83"/>
      <c r="F49" s="81">
        <f>1558/7.5345</f>
        <v>206.78213550998737</v>
      </c>
      <c r="G49" s="81">
        <v>796.34</v>
      </c>
      <c r="H49" s="81">
        <v>18031</v>
      </c>
    </row>
    <row r="50" spans="1:8" hidden="1" x14ac:dyDescent="0.25">
      <c r="A50" s="39"/>
      <c r="B50" s="55">
        <v>7231</v>
      </c>
      <c r="C50" s="83" t="s">
        <v>81</v>
      </c>
      <c r="D50" s="83"/>
      <c r="E50" s="83"/>
      <c r="F50" s="81">
        <v>0</v>
      </c>
      <c r="G50" s="81">
        <v>6636.14</v>
      </c>
      <c r="H50" s="81">
        <v>0</v>
      </c>
    </row>
    <row r="51" spans="1:8" hidden="1" x14ac:dyDescent="0.25">
      <c r="A51" s="567" t="s">
        <v>263</v>
      </c>
      <c r="B51" s="568"/>
      <c r="C51" s="569"/>
      <c r="D51" s="71"/>
      <c r="E51" s="71"/>
      <c r="F51" s="92">
        <f>F10+F46</f>
        <v>24659352.578140549</v>
      </c>
      <c r="G51" s="92">
        <f>G10+G46</f>
        <v>63896084.969999999</v>
      </c>
      <c r="H51" s="92">
        <f>H10+H46</f>
        <v>30852949.75</v>
      </c>
    </row>
    <row r="52" spans="1:8" hidden="1" x14ac:dyDescent="0.25"/>
    <row r="53" spans="1:8" hidden="1" x14ac:dyDescent="0.25"/>
    <row r="54" spans="1:8" x14ac:dyDescent="0.25">
      <c r="A54" s="575" t="s">
        <v>291</v>
      </c>
      <c r="B54" s="575"/>
      <c r="C54" s="575"/>
      <c r="D54" s="575"/>
      <c r="E54" s="575"/>
      <c r="F54" s="575"/>
      <c r="G54" s="575"/>
      <c r="H54" s="575"/>
    </row>
    <row r="55" spans="1:8" ht="69" customHeight="1" x14ac:dyDescent="0.25">
      <c r="A55" s="30" t="s">
        <v>3</v>
      </c>
      <c r="B55" s="30" t="s">
        <v>4</v>
      </c>
      <c r="C55" s="35" t="s">
        <v>6</v>
      </c>
      <c r="D55" s="409" t="s">
        <v>567</v>
      </c>
      <c r="E55" s="409" t="s">
        <v>571</v>
      </c>
      <c r="F55" s="14" t="s">
        <v>569</v>
      </c>
      <c r="G55" s="14" t="s">
        <v>570</v>
      </c>
      <c r="H55" s="15" t="s">
        <v>568</v>
      </c>
    </row>
    <row r="56" spans="1:8" ht="13.5" customHeight="1" x14ac:dyDescent="0.25">
      <c r="A56" s="576">
        <v>1</v>
      </c>
      <c r="B56" s="577"/>
      <c r="C56" s="578"/>
      <c r="D56" s="95"/>
      <c r="E56" s="95"/>
      <c r="F56" s="96">
        <v>2</v>
      </c>
      <c r="G56" s="96">
        <v>3</v>
      </c>
      <c r="H56" s="97">
        <v>4</v>
      </c>
    </row>
    <row r="57" spans="1:8" x14ac:dyDescent="0.25">
      <c r="A57" s="36">
        <v>3</v>
      </c>
      <c r="B57" s="98"/>
      <c r="C57" s="98" t="s">
        <v>83</v>
      </c>
      <c r="D57" s="91">
        <f t="shared" ref="D57:H57" si="2">D58+D82+D178+D190+D194+D199</f>
        <v>5084825.8800000008</v>
      </c>
      <c r="E57" s="91">
        <f t="shared" si="2"/>
        <v>4244329.5999999996</v>
      </c>
      <c r="F57" s="91">
        <f t="shared" si="2"/>
        <v>5323849.95</v>
      </c>
      <c r="G57" s="91">
        <f t="shared" si="2"/>
        <v>5396761.3099999996</v>
      </c>
      <c r="H57" s="91">
        <f t="shared" si="2"/>
        <v>5438063.0499999998</v>
      </c>
    </row>
    <row r="58" spans="1:8" x14ac:dyDescent="0.25">
      <c r="A58" s="39"/>
      <c r="B58" s="99">
        <v>31</v>
      </c>
      <c r="C58" s="99" t="s">
        <v>89</v>
      </c>
      <c r="D58" s="100">
        <f t="shared" ref="D58" si="3">SUM(D59,D68,D76)</f>
        <v>4163364.8400000003</v>
      </c>
      <c r="E58" s="100">
        <f t="shared" ref="E58:H58" si="4">SUM(E59,E68,E76)</f>
        <v>3224991.6399999997</v>
      </c>
      <c r="F58" s="100">
        <f t="shared" si="4"/>
        <v>4381381.88</v>
      </c>
      <c r="G58" s="100">
        <f t="shared" si="4"/>
        <v>4416309.34</v>
      </c>
      <c r="H58" s="100">
        <f t="shared" si="4"/>
        <v>4421856.05</v>
      </c>
    </row>
    <row r="59" spans="1:8" x14ac:dyDescent="0.25">
      <c r="A59" s="39"/>
      <c r="B59" s="84">
        <v>311</v>
      </c>
      <c r="C59" s="84" t="s">
        <v>292</v>
      </c>
      <c r="D59" s="85">
        <f t="shared" ref="D59" si="5">D60+D64+D66</f>
        <v>3472401.9000000004</v>
      </c>
      <c r="E59" s="85">
        <f t="shared" ref="E59:H59" si="6">E60+E64+E66</f>
        <v>2660183.7399999998</v>
      </c>
      <c r="F59" s="85">
        <f t="shared" si="6"/>
        <v>3674984.8699999996</v>
      </c>
      <c r="G59" s="85">
        <f t="shared" si="6"/>
        <v>3701962.3299999996</v>
      </c>
      <c r="H59" s="85">
        <f t="shared" si="6"/>
        <v>3705193.8699999996</v>
      </c>
    </row>
    <row r="60" spans="1:8" x14ac:dyDescent="0.25">
      <c r="A60" s="39"/>
      <c r="B60" s="84">
        <v>3111</v>
      </c>
      <c r="C60" s="84" t="s">
        <v>91</v>
      </c>
      <c r="D60" s="85">
        <f t="shared" ref="D60" si="7">D61+D62</f>
        <v>3350820.1700000004</v>
      </c>
      <c r="E60" s="85">
        <f t="shared" ref="E60:H60" si="8">E61+E62</f>
        <v>2611076.2999999998</v>
      </c>
      <c r="F60" s="85">
        <f t="shared" si="8"/>
        <v>3594984.8699999996</v>
      </c>
      <c r="G60" s="85">
        <f t="shared" si="8"/>
        <v>3619962.3299999996</v>
      </c>
      <c r="H60" s="85">
        <f t="shared" si="8"/>
        <v>3621193.8699999996</v>
      </c>
    </row>
    <row r="61" spans="1:8" x14ac:dyDescent="0.25">
      <c r="A61" s="39"/>
      <c r="B61" s="83">
        <v>31111</v>
      </c>
      <c r="C61" s="83" t="s">
        <v>91</v>
      </c>
      <c r="D61" s="81">
        <f>' PRIHODI I RASHODI-izvori'!E15+' PRIHODI I RASHODI-izvori'!E185+' PRIHODI I RASHODI-izvori'!E79+' PRIHODI I RASHODI-izvori'!E371</f>
        <v>3349104.18</v>
      </c>
      <c r="E61" s="81">
        <f>' PRIHODI I RASHODI-izvori'!F15+' PRIHODI I RASHODI-izvori'!F185+' PRIHODI I RASHODI-izvori'!F79+' PRIHODI I RASHODI-izvori'!F371</f>
        <v>2606076.2999999998</v>
      </c>
      <c r="F61" s="81">
        <f>' PRIHODI I RASHODI-izvori'!G15+' PRIHODI I RASHODI-izvori'!G185+' PRIHODI I RASHODI-izvori'!G79+' PRIHODI I RASHODI-izvori'!G371</f>
        <v>3593184.8699999996</v>
      </c>
      <c r="G61" s="81">
        <f>' PRIHODI I RASHODI-izvori'!H15+' PRIHODI I RASHODI-izvori'!H185+' PRIHODI I RASHODI-izvori'!H79+' PRIHODI I RASHODI-izvori'!H371</f>
        <v>3618062.3299999996</v>
      </c>
      <c r="H61" s="81">
        <f>' PRIHODI I RASHODI-izvori'!I15+' PRIHODI I RASHODI-izvori'!I185+' PRIHODI I RASHODI-izvori'!I79+' PRIHODI I RASHODI-izvori'!I371</f>
        <v>3619193.8699999996</v>
      </c>
    </row>
    <row r="62" spans="1:8" x14ac:dyDescent="0.25">
      <c r="A62" s="39"/>
      <c r="B62" s="83">
        <v>31113</v>
      </c>
      <c r="C62" s="83" t="s">
        <v>409</v>
      </c>
      <c r="D62" s="81">
        <f>' PRIHODI I RASHODI-izvori'!E186</f>
        <v>1715.99</v>
      </c>
      <c r="E62" s="81">
        <f>' PRIHODI I RASHODI-izvori'!F186</f>
        <v>5000</v>
      </c>
      <c r="F62" s="81">
        <f>' PRIHODI I RASHODI-izvori'!G186</f>
        <v>1800</v>
      </c>
      <c r="G62" s="81">
        <f>' PRIHODI I RASHODI-izvori'!H186</f>
        <v>1900</v>
      </c>
      <c r="H62" s="81">
        <f>' PRIHODI I RASHODI-izvori'!I186</f>
        <v>2000</v>
      </c>
    </row>
    <row r="63" spans="1:8" hidden="1" x14ac:dyDescent="0.25">
      <c r="A63" s="39"/>
      <c r="B63" s="83">
        <v>3112</v>
      </c>
      <c r="C63" s="83" t="s">
        <v>93</v>
      </c>
      <c r="D63" s="81"/>
      <c r="E63" s="81"/>
      <c r="F63" s="81"/>
      <c r="G63" s="81"/>
      <c r="H63" s="81"/>
    </row>
    <row r="64" spans="1:8" x14ac:dyDescent="0.25">
      <c r="A64" s="39"/>
      <c r="B64" s="84">
        <v>3113</v>
      </c>
      <c r="C64" s="84" t="s">
        <v>95</v>
      </c>
      <c r="D64" s="85">
        <f t="shared" ref="D64:H64" si="9">D65</f>
        <v>79831.87</v>
      </c>
      <c r="E64" s="85">
        <f t="shared" si="9"/>
        <v>49107.44</v>
      </c>
      <c r="F64" s="85">
        <f t="shared" si="9"/>
        <v>80000</v>
      </c>
      <c r="G64" s="85">
        <f t="shared" si="9"/>
        <v>82000</v>
      </c>
      <c r="H64" s="85">
        <f t="shared" si="9"/>
        <v>84000</v>
      </c>
    </row>
    <row r="65" spans="1:8" x14ac:dyDescent="0.25">
      <c r="A65" s="39"/>
      <c r="B65" s="83">
        <v>31131</v>
      </c>
      <c r="C65" s="83" t="s">
        <v>95</v>
      </c>
      <c r="D65" s="81">
        <f>' PRIHODI I RASHODI-izvori'!E189</f>
        <v>79831.87</v>
      </c>
      <c r="E65" s="81">
        <f>' PRIHODI I RASHODI-izvori'!F189</f>
        <v>49107.44</v>
      </c>
      <c r="F65" s="81">
        <f>' PRIHODI I RASHODI-izvori'!G189</f>
        <v>80000</v>
      </c>
      <c r="G65" s="81">
        <f>' PRIHODI I RASHODI-izvori'!H189</f>
        <v>82000</v>
      </c>
      <c r="H65" s="81">
        <f>' PRIHODI I RASHODI-izvori'!I189</f>
        <v>84000</v>
      </c>
    </row>
    <row r="66" spans="1:8" x14ac:dyDescent="0.25">
      <c r="A66" s="39"/>
      <c r="B66" s="84">
        <v>3114</v>
      </c>
      <c r="C66" s="84" t="s">
        <v>212</v>
      </c>
      <c r="D66" s="85">
        <f t="shared" ref="D66:H66" si="10">D67</f>
        <v>41749.86</v>
      </c>
      <c r="E66" s="85">
        <f t="shared" si="10"/>
        <v>0</v>
      </c>
      <c r="F66" s="85">
        <f t="shared" si="10"/>
        <v>0</v>
      </c>
      <c r="G66" s="85">
        <f t="shared" si="10"/>
        <v>0</v>
      </c>
      <c r="H66" s="85">
        <f t="shared" si="10"/>
        <v>0</v>
      </c>
    </row>
    <row r="67" spans="1:8" x14ac:dyDescent="0.25">
      <c r="A67" s="39"/>
      <c r="B67" s="83">
        <v>31141</v>
      </c>
      <c r="C67" s="83" t="s">
        <v>212</v>
      </c>
      <c r="D67" s="81">
        <f>' PRIHODI I RASHODI-izvori'!E191+' PRIHODI I RASHODI-izvori'!E83+' PRIHODI I RASHODI-izvori'!E374</f>
        <v>41749.86</v>
      </c>
      <c r="E67" s="81">
        <f>' PRIHODI I RASHODI-izvori'!F191+' PRIHODI I RASHODI-izvori'!F83+' PRIHODI I RASHODI-izvori'!F374</f>
        <v>0</v>
      </c>
      <c r="F67" s="81">
        <f>' PRIHODI I RASHODI-izvori'!G191+' PRIHODI I RASHODI-izvori'!G83+' PRIHODI I RASHODI-izvori'!G374</f>
        <v>0</v>
      </c>
      <c r="G67" s="81">
        <f>' PRIHODI I RASHODI-izvori'!H191+' PRIHODI I RASHODI-izvori'!H83+' PRIHODI I RASHODI-izvori'!H374</f>
        <v>0</v>
      </c>
      <c r="H67" s="81">
        <f>' PRIHODI I RASHODI-izvori'!I191+' PRIHODI I RASHODI-izvori'!I83+' PRIHODI I RASHODI-izvori'!I374</f>
        <v>0</v>
      </c>
    </row>
    <row r="68" spans="1:8" x14ac:dyDescent="0.25">
      <c r="A68" s="39"/>
      <c r="B68" s="84">
        <v>312</v>
      </c>
      <c r="C68" s="84" t="s">
        <v>99</v>
      </c>
      <c r="D68" s="85">
        <f t="shared" ref="D68:H68" si="11">SUM(D69)</f>
        <v>145684.44</v>
      </c>
      <c r="E68" s="85">
        <f t="shared" si="11"/>
        <v>128191.98000000001</v>
      </c>
      <c r="F68" s="85">
        <f t="shared" si="11"/>
        <v>133177.1</v>
      </c>
      <c r="G68" s="85">
        <f t="shared" si="11"/>
        <v>139127.1</v>
      </c>
      <c r="H68" s="85">
        <f t="shared" si="11"/>
        <v>144181.68</v>
      </c>
    </row>
    <row r="69" spans="1:8" x14ac:dyDescent="0.25">
      <c r="A69" s="39"/>
      <c r="B69" s="84">
        <v>3121</v>
      </c>
      <c r="C69" s="84" t="s">
        <v>99</v>
      </c>
      <c r="D69" s="85">
        <f t="shared" ref="D69" si="12">SUM(D70:D75)</f>
        <v>145684.44</v>
      </c>
      <c r="E69" s="85">
        <f t="shared" ref="E69:H69" si="13">SUM(E70:E75)</f>
        <v>128191.98000000001</v>
      </c>
      <c r="F69" s="85">
        <f t="shared" si="13"/>
        <v>133177.1</v>
      </c>
      <c r="G69" s="85">
        <f t="shared" si="13"/>
        <v>139127.1</v>
      </c>
      <c r="H69" s="85">
        <f t="shared" si="13"/>
        <v>144181.68</v>
      </c>
    </row>
    <row r="70" spans="1:8" x14ac:dyDescent="0.25">
      <c r="A70" s="39"/>
      <c r="B70" s="83">
        <v>31212</v>
      </c>
      <c r="C70" s="83" t="s">
        <v>411</v>
      </c>
      <c r="D70" s="81">
        <f>' PRIHODI I RASHODI-izvori'!E194</f>
        <v>32979.199999999997</v>
      </c>
      <c r="E70" s="81">
        <f>' PRIHODI I RASHODI-izvori'!F194</f>
        <v>13000</v>
      </c>
      <c r="F70" s="81">
        <f>' PRIHODI I RASHODI-izvori'!G194</f>
        <v>28000</v>
      </c>
      <c r="G70" s="81">
        <f>' PRIHODI I RASHODI-izvori'!H194</f>
        <v>29500</v>
      </c>
      <c r="H70" s="81">
        <f>' PRIHODI I RASHODI-izvori'!I194</f>
        <v>31000</v>
      </c>
    </row>
    <row r="71" spans="1:8" x14ac:dyDescent="0.25">
      <c r="A71" s="39"/>
      <c r="B71" s="83">
        <v>31213</v>
      </c>
      <c r="C71" s="83" t="s">
        <v>413</v>
      </c>
      <c r="D71" s="81">
        <f>' PRIHODI I RASHODI-izvori'!E195</f>
        <v>30736.17</v>
      </c>
      <c r="E71" s="81">
        <f>' PRIHODI I RASHODI-izvori'!F195</f>
        <v>25000</v>
      </c>
      <c r="F71" s="81">
        <f>' PRIHODI I RASHODI-izvori'!G195</f>
        <v>26000</v>
      </c>
      <c r="G71" s="81">
        <f>' PRIHODI I RASHODI-izvori'!H195</f>
        <v>27000</v>
      </c>
      <c r="H71" s="81">
        <f>' PRIHODI I RASHODI-izvori'!I195</f>
        <v>28000</v>
      </c>
    </row>
    <row r="72" spans="1:8" x14ac:dyDescent="0.25">
      <c r="A72" s="39"/>
      <c r="B72" s="83">
        <v>31214</v>
      </c>
      <c r="C72" s="83" t="s">
        <v>412</v>
      </c>
      <c r="D72" s="81">
        <f>' PRIHODI I RASHODI-izvori'!E196</f>
        <v>0</v>
      </c>
      <c r="E72" s="81">
        <f>' PRIHODI I RASHODI-izvori'!F196</f>
        <v>2000</v>
      </c>
      <c r="F72" s="81">
        <f>' PRIHODI I RASHODI-izvori'!G196</f>
        <v>2000</v>
      </c>
      <c r="G72" s="81">
        <f>' PRIHODI I RASHODI-izvori'!H196</f>
        <v>2250</v>
      </c>
      <c r="H72" s="81">
        <f>' PRIHODI I RASHODI-izvori'!I196</f>
        <v>2500</v>
      </c>
    </row>
    <row r="73" spans="1:8" x14ac:dyDescent="0.25">
      <c r="A73" s="39"/>
      <c r="B73" s="83">
        <v>31215</v>
      </c>
      <c r="C73" s="83" t="s">
        <v>414</v>
      </c>
      <c r="D73" s="81">
        <f>' PRIHODI I RASHODI-izvori'!E197</f>
        <v>4022.98</v>
      </c>
      <c r="E73" s="81">
        <f>' PRIHODI I RASHODI-izvori'!F197</f>
        <v>3800</v>
      </c>
      <c r="F73" s="81">
        <f>' PRIHODI I RASHODI-izvori'!G197</f>
        <v>3800</v>
      </c>
      <c r="G73" s="81">
        <f>' PRIHODI I RASHODI-izvori'!H197</f>
        <v>4000</v>
      </c>
      <c r="H73" s="81">
        <f>' PRIHODI I RASHODI-izvori'!I197</f>
        <v>4300</v>
      </c>
    </row>
    <row r="74" spans="1:8" x14ac:dyDescent="0.25">
      <c r="A74" s="39"/>
      <c r="B74" s="83">
        <v>31216</v>
      </c>
      <c r="C74" s="83" t="s">
        <v>415</v>
      </c>
      <c r="D74" s="81">
        <f>' PRIHODI I RASHODI-izvori'!E198+' PRIHODI I RASHODI-izvori'!E377</f>
        <v>39900</v>
      </c>
      <c r="E74" s="81">
        <f>' PRIHODI I RASHODI-izvori'!F198+' PRIHODI I RASHODI-izvori'!F377</f>
        <v>40300</v>
      </c>
      <c r="F74" s="81">
        <f>' PRIHODI I RASHODI-izvori'!G198+' PRIHODI I RASHODI-izvori'!G377</f>
        <v>35900</v>
      </c>
      <c r="G74" s="81">
        <f>' PRIHODI I RASHODI-izvori'!H198+' PRIHODI I RASHODI-izvori'!H377</f>
        <v>37400</v>
      </c>
      <c r="H74" s="81">
        <f>' PRIHODI I RASHODI-izvori'!I198+' PRIHODI I RASHODI-izvori'!I377</f>
        <v>38600</v>
      </c>
    </row>
    <row r="75" spans="1:8" x14ac:dyDescent="0.25">
      <c r="A75" s="39"/>
      <c r="B75" s="83">
        <v>31219</v>
      </c>
      <c r="C75" s="83" t="s">
        <v>410</v>
      </c>
      <c r="D75" s="81">
        <f>' PRIHODI I RASHODI-izvori'!E199+' PRIHODI I RASHODI-izvori'!E86+' PRIHODI I RASHODI-izvori'!E378</f>
        <v>38046.089999999997</v>
      </c>
      <c r="E75" s="81">
        <f>' PRIHODI I RASHODI-izvori'!F199+' PRIHODI I RASHODI-izvori'!F86+' PRIHODI I RASHODI-izvori'!F378</f>
        <v>44091.98</v>
      </c>
      <c r="F75" s="81">
        <f>' PRIHODI I RASHODI-izvori'!G199+' PRIHODI I RASHODI-izvori'!G86+' PRIHODI I RASHODI-izvori'!G378</f>
        <v>37477.1</v>
      </c>
      <c r="G75" s="81">
        <f>' PRIHODI I RASHODI-izvori'!H199+' PRIHODI I RASHODI-izvori'!H86+' PRIHODI I RASHODI-izvori'!H378</f>
        <v>38977.1</v>
      </c>
      <c r="H75" s="81">
        <f>' PRIHODI I RASHODI-izvori'!I199+' PRIHODI I RASHODI-izvori'!I86+' PRIHODI I RASHODI-izvori'!I378</f>
        <v>39781.68</v>
      </c>
    </row>
    <row r="76" spans="1:8" x14ac:dyDescent="0.25">
      <c r="A76" s="39"/>
      <c r="B76" s="84">
        <v>313</v>
      </c>
      <c r="C76" s="84" t="s">
        <v>293</v>
      </c>
      <c r="D76" s="85">
        <f>D77+D78+D80</f>
        <v>545278.5</v>
      </c>
      <c r="E76" s="85">
        <f t="shared" ref="E76:H76" si="14">E77+E78+E80</f>
        <v>436615.92</v>
      </c>
      <c r="F76" s="85">
        <f t="shared" si="14"/>
        <v>573219.91</v>
      </c>
      <c r="G76" s="85">
        <f t="shared" si="14"/>
        <v>575219.91</v>
      </c>
      <c r="H76" s="85">
        <f t="shared" si="14"/>
        <v>572480.5</v>
      </c>
    </row>
    <row r="77" spans="1:8" x14ac:dyDescent="0.25">
      <c r="A77" s="55"/>
      <c r="B77" s="84">
        <v>3131</v>
      </c>
      <c r="C77" s="84" t="s">
        <v>227</v>
      </c>
      <c r="D77" s="81"/>
      <c r="E77" s="81"/>
      <c r="F77" s="81"/>
      <c r="G77" s="81"/>
      <c r="H77" s="81"/>
    </row>
    <row r="78" spans="1:8" x14ac:dyDescent="0.25">
      <c r="A78" s="55"/>
      <c r="B78" s="84">
        <v>3132</v>
      </c>
      <c r="C78" s="84" t="s">
        <v>294</v>
      </c>
      <c r="D78" s="85">
        <f t="shared" ref="D78:H78" si="15">D79</f>
        <v>545240.76</v>
      </c>
      <c r="E78" s="85">
        <f t="shared" si="15"/>
        <v>436615.92</v>
      </c>
      <c r="F78" s="85">
        <f t="shared" si="15"/>
        <v>573219.91</v>
      </c>
      <c r="G78" s="85">
        <f t="shared" si="15"/>
        <v>575219.91</v>
      </c>
      <c r="H78" s="85">
        <f t="shared" si="15"/>
        <v>572480.5</v>
      </c>
    </row>
    <row r="79" spans="1:8" x14ac:dyDescent="0.25">
      <c r="A79" s="39"/>
      <c r="B79" s="83">
        <v>31321</v>
      </c>
      <c r="C79" s="83" t="s">
        <v>294</v>
      </c>
      <c r="D79" s="81">
        <f>' PRIHODI I RASHODI-izvori'!E18+' PRIHODI I RASHODI-izvori'!E202+' PRIHODI I RASHODI-izvori'!E89+' PRIHODI I RASHODI-izvori'!E381</f>
        <v>545240.76</v>
      </c>
      <c r="E79" s="81">
        <f>' PRIHODI I RASHODI-izvori'!F18+' PRIHODI I RASHODI-izvori'!F202+' PRIHODI I RASHODI-izvori'!F89+' PRIHODI I RASHODI-izvori'!F381</f>
        <v>436615.92</v>
      </c>
      <c r="F79" s="81">
        <f>' PRIHODI I RASHODI-izvori'!G18+' PRIHODI I RASHODI-izvori'!G202+' PRIHODI I RASHODI-izvori'!G89+' PRIHODI I RASHODI-izvori'!G381</f>
        <v>573219.91</v>
      </c>
      <c r="G79" s="81">
        <f>' PRIHODI I RASHODI-izvori'!H18+' PRIHODI I RASHODI-izvori'!H202+' PRIHODI I RASHODI-izvori'!H89+' PRIHODI I RASHODI-izvori'!H381</f>
        <v>575219.91</v>
      </c>
      <c r="H79" s="81">
        <f>' PRIHODI I RASHODI-izvori'!I18+' PRIHODI I RASHODI-izvori'!I202+' PRIHODI I RASHODI-izvori'!I89+' PRIHODI I RASHODI-izvori'!I381</f>
        <v>572480.5</v>
      </c>
    </row>
    <row r="80" spans="1:8" x14ac:dyDescent="0.25">
      <c r="A80" s="39"/>
      <c r="B80" s="520">
        <v>3133</v>
      </c>
      <c r="C80" s="521" t="s">
        <v>574</v>
      </c>
      <c r="D80" s="85">
        <f>D81</f>
        <v>37.74</v>
      </c>
      <c r="E80" s="85">
        <f t="shared" ref="E80:H80" si="16">E81</f>
        <v>0</v>
      </c>
      <c r="F80" s="85">
        <f t="shared" si="16"/>
        <v>0</v>
      </c>
      <c r="G80" s="85">
        <f t="shared" si="16"/>
        <v>0</v>
      </c>
      <c r="H80" s="85">
        <f t="shared" si="16"/>
        <v>0</v>
      </c>
    </row>
    <row r="81" spans="1:8" x14ac:dyDescent="0.25">
      <c r="A81" s="39"/>
      <c r="B81" s="519">
        <v>31332</v>
      </c>
      <c r="C81" s="522" t="s">
        <v>575</v>
      </c>
      <c r="D81" s="81">
        <f>' PRIHODI I RASHODI-izvori'!E204</f>
        <v>37.74</v>
      </c>
      <c r="E81" s="81">
        <f>' PRIHODI I RASHODI-izvori'!F204</f>
        <v>0</v>
      </c>
      <c r="F81" s="81">
        <f>' PRIHODI I RASHODI-izvori'!G204</f>
        <v>0</v>
      </c>
      <c r="G81" s="81">
        <f>' PRIHODI I RASHODI-izvori'!H204</f>
        <v>0</v>
      </c>
      <c r="H81" s="81">
        <f>' PRIHODI I RASHODI-izvori'!I204</f>
        <v>0</v>
      </c>
    </row>
    <row r="82" spans="1:8" x14ac:dyDescent="0.25">
      <c r="A82" s="39"/>
      <c r="B82" s="99">
        <v>32</v>
      </c>
      <c r="C82" s="99" t="s">
        <v>103</v>
      </c>
      <c r="D82" s="100">
        <f>D83+D95+D120+D151+D154+D158</f>
        <v>905498.1399999999</v>
      </c>
      <c r="E82" s="100">
        <f t="shared" ref="E82:H82" si="17">E83+E95+E120+E151+E154+E158</f>
        <v>1006865.44</v>
      </c>
      <c r="F82" s="100">
        <f t="shared" si="17"/>
        <v>932993.07000000007</v>
      </c>
      <c r="G82" s="100">
        <f t="shared" si="17"/>
        <v>970681.97</v>
      </c>
      <c r="H82" s="100">
        <f t="shared" si="17"/>
        <v>1006142</v>
      </c>
    </row>
    <row r="83" spans="1:8" x14ac:dyDescent="0.25">
      <c r="A83" s="39"/>
      <c r="B83" s="84">
        <v>321</v>
      </c>
      <c r="C83" s="84" t="s">
        <v>104</v>
      </c>
      <c r="D83" s="85">
        <f t="shared" ref="D83:H83" si="18">D84+D88+D90+D93</f>
        <v>116890.74</v>
      </c>
      <c r="E83" s="85">
        <f t="shared" si="18"/>
        <v>135321.71000000002</v>
      </c>
      <c r="F83" s="85">
        <f t="shared" si="18"/>
        <v>129116.43000000001</v>
      </c>
      <c r="G83" s="85">
        <f t="shared" si="18"/>
        <v>128755.33000000002</v>
      </c>
      <c r="H83" s="85">
        <f t="shared" si="18"/>
        <v>121225.54000000001</v>
      </c>
    </row>
    <row r="84" spans="1:8" x14ac:dyDescent="0.25">
      <c r="A84" s="39"/>
      <c r="B84" s="84">
        <v>3211</v>
      </c>
      <c r="C84" s="84" t="s">
        <v>106</v>
      </c>
      <c r="D84" s="85">
        <f t="shared" ref="D84:H84" si="19">SUM(D85:D87)</f>
        <v>7683.1</v>
      </c>
      <c r="E84" s="85">
        <f t="shared" si="19"/>
        <v>25957.02</v>
      </c>
      <c r="F84" s="85">
        <f t="shared" si="19"/>
        <v>18379.78</v>
      </c>
      <c r="G84" s="85">
        <f t="shared" si="19"/>
        <v>17229.78</v>
      </c>
      <c r="H84" s="85">
        <f t="shared" si="19"/>
        <v>13963.61</v>
      </c>
    </row>
    <row r="85" spans="1:8" x14ac:dyDescent="0.25">
      <c r="A85" s="39"/>
      <c r="B85" s="83">
        <v>32111</v>
      </c>
      <c r="C85" s="83" t="s">
        <v>416</v>
      </c>
      <c r="D85" s="81">
        <f>' PRIHODI I RASHODI-izvori'!E208+' PRIHODI I RASHODI-izvori'!E385+' PRIHODI I RASHODI-izvori'!E452</f>
        <v>5910</v>
      </c>
      <c r="E85" s="81">
        <f>' PRIHODI I RASHODI-izvori'!F208+' PRIHODI I RASHODI-izvori'!F385+' PRIHODI I RASHODI-izvori'!F452</f>
        <v>16616.169999999998</v>
      </c>
      <c r="F85" s="81">
        <f>' PRIHODI I RASHODI-izvori'!G208+' PRIHODI I RASHODI-izvori'!G385+' PRIHODI I RASHODI-izvori'!G452</f>
        <v>8716.17</v>
      </c>
      <c r="G85" s="81">
        <f>' PRIHODI I RASHODI-izvori'!H208+' PRIHODI I RASHODI-izvori'!H385+' PRIHODI I RASHODI-izvori'!H452</f>
        <v>8316.17</v>
      </c>
      <c r="H85" s="81">
        <f>' PRIHODI I RASHODI-izvori'!I208+' PRIHODI I RASHODI-izvori'!I385+' PRIHODI I RASHODI-izvori'!I452</f>
        <v>4800</v>
      </c>
    </row>
    <row r="86" spans="1:8" x14ac:dyDescent="0.25">
      <c r="A86" s="39"/>
      <c r="B86" s="83">
        <v>32113</v>
      </c>
      <c r="C86" s="83" t="s">
        <v>418</v>
      </c>
      <c r="D86" s="81">
        <f>' PRIHODI I RASHODI-izvori'!E209+' PRIHODI I RASHODI-izvori'!E386</f>
        <v>0</v>
      </c>
      <c r="E86" s="81">
        <f>' PRIHODI I RASHODI-izvori'!F209+' PRIHODI I RASHODI-izvori'!F386</f>
        <v>1300</v>
      </c>
      <c r="F86" s="81">
        <f>' PRIHODI I RASHODI-izvori'!G209+' PRIHODI I RASHODI-izvori'!G386</f>
        <v>5600</v>
      </c>
      <c r="G86" s="81">
        <f>' PRIHODI I RASHODI-izvori'!H209+' PRIHODI I RASHODI-izvori'!H386</f>
        <v>5050</v>
      </c>
      <c r="H86" s="81">
        <f>' PRIHODI I RASHODI-izvori'!I209+' PRIHODI I RASHODI-izvori'!I386</f>
        <v>5100</v>
      </c>
    </row>
    <row r="87" spans="1:8" x14ac:dyDescent="0.25">
      <c r="A87" s="39"/>
      <c r="B87" s="83">
        <v>32115</v>
      </c>
      <c r="C87" s="83" t="s">
        <v>419</v>
      </c>
      <c r="D87" s="81">
        <f>' PRIHODI I RASHODI-izvori'!E210+' PRIHODI I RASHODI-izvori'!E93+' PRIHODI I RASHODI-izvori'!E453+' PRIHODI I RASHODI-izvori'!E387</f>
        <v>1773.1</v>
      </c>
      <c r="E87" s="81">
        <f>' PRIHODI I RASHODI-izvori'!F210+' PRIHODI I RASHODI-izvori'!F93+' PRIHODI I RASHODI-izvori'!F453+' PRIHODI I RASHODI-izvori'!F387</f>
        <v>8040.8500000000013</v>
      </c>
      <c r="F87" s="81">
        <f>' PRIHODI I RASHODI-izvori'!G210+' PRIHODI I RASHODI-izvori'!G93+' PRIHODI I RASHODI-izvori'!G453+' PRIHODI I RASHODI-izvori'!G387</f>
        <v>4063.61</v>
      </c>
      <c r="G87" s="81">
        <f>' PRIHODI I RASHODI-izvori'!H210+' PRIHODI I RASHODI-izvori'!H93+' PRIHODI I RASHODI-izvori'!H453+' PRIHODI I RASHODI-izvori'!H387</f>
        <v>3863.61</v>
      </c>
      <c r="H87" s="81">
        <f>' PRIHODI I RASHODI-izvori'!I210+' PRIHODI I RASHODI-izvori'!I93+' PRIHODI I RASHODI-izvori'!I453+' PRIHODI I RASHODI-izvori'!I387</f>
        <v>4063.61</v>
      </c>
    </row>
    <row r="88" spans="1:8" x14ac:dyDescent="0.25">
      <c r="A88" s="39"/>
      <c r="B88" s="84">
        <v>3212</v>
      </c>
      <c r="C88" s="84" t="s">
        <v>417</v>
      </c>
      <c r="D88" s="85">
        <f t="shared" ref="D88:H88" si="20">D89</f>
        <v>103824.51</v>
      </c>
      <c r="E88" s="85">
        <f t="shared" si="20"/>
        <v>100865.85</v>
      </c>
      <c r="F88" s="85">
        <f t="shared" si="20"/>
        <v>99293.98000000001</v>
      </c>
      <c r="G88" s="85">
        <f t="shared" si="20"/>
        <v>100893.98000000001</v>
      </c>
      <c r="H88" s="85">
        <f t="shared" si="20"/>
        <v>97988.55</v>
      </c>
    </row>
    <row r="89" spans="1:8" x14ac:dyDescent="0.25">
      <c r="A89" s="39"/>
      <c r="B89" s="83">
        <v>32121</v>
      </c>
      <c r="C89" s="83" t="s">
        <v>295</v>
      </c>
      <c r="D89" s="81">
        <f>' PRIHODI I RASHODI-izvori'!E212+' PRIHODI I RASHODI-izvori'!E95+' PRIHODI I RASHODI-izvori'!E389</f>
        <v>103824.51</v>
      </c>
      <c r="E89" s="81">
        <f>' PRIHODI I RASHODI-izvori'!F212+' PRIHODI I RASHODI-izvori'!F95+' PRIHODI I RASHODI-izvori'!F389</f>
        <v>100865.85</v>
      </c>
      <c r="F89" s="81">
        <f>' PRIHODI I RASHODI-izvori'!G212+' PRIHODI I RASHODI-izvori'!G95+' PRIHODI I RASHODI-izvori'!G389</f>
        <v>99293.98000000001</v>
      </c>
      <c r="G89" s="81">
        <f>' PRIHODI I RASHODI-izvori'!H212+' PRIHODI I RASHODI-izvori'!H95+' PRIHODI I RASHODI-izvori'!H389</f>
        <v>100893.98000000001</v>
      </c>
      <c r="H89" s="81">
        <f>' PRIHODI I RASHODI-izvori'!I212+' PRIHODI I RASHODI-izvori'!I95+' PRIHODI I RASHODI-izvori'!I389</f>
        <v>97988.55</v>
      </c>
    </row>
    <row r="90" spans="1:8" x14ac:dyDescent="0.25">
      <c r="A90" s="39"/>
      <c r="B90" s="84">
        <v>3213</v>
      </c>
      <c r="C90" s="84" t="s">
        <v>110</v>
      </c>
      <c r="D90" s="85">
        <f t="shared" ref="D90:H90" si="21">SUM(D91:D92)</f>
        <v>5383.13</v>
      </c>
      <c r="E90" s="85">
        <f t="shared" si="21"/>
        <v>8100.67</v>
      </c>
      <c r="F90" s="85">
        <f t="shared" si="21"/>
        <v>11242.67</v>
      </c>
      <c r="G90" s="85">
        <f t="shared" si="21"/>
        <v>10431.57</v>
      </c>
      <c r="H90" s="85">
        <f t="shared" si="21"/>
        <v>9073.380000000001</v>
      </c>
    </row>
    <row r="91" spans="1:8" x14ac:dyDescent="0.25">
      <c r="A91" s="39"/>
      <c r="B91" s="83">
        <v>32131</v>
      </c>
      <c r="C91" s="83" t="s">
        <v>420</v>
      </c>
      <c r="D91" s="81">
        <f>' PRIHODI I RASHODI-izvori'!E214</f>
        <v>1080</v>
      </c>
      <c r="E91" s="81">
        <f>' PRIHODI I RASHODI-izvori'!F214</f>
        <v>2200</v>
      </c>
      <c r="F91" s="81">
        <f>' PRIHODI I RASHODI-izvori'!G214</f>
        <v>1100</v>
      </c>
      <c r="G91" s="81">
        <f>' PRIHODI I RASHODI-izvori'!H214</f>
        <v>1200</v>
      </c>
      <c r="H91" s="81">
        <f>' PRIHODI I RASHODI-izvori'!I214</f>
        <v>1300</v>
      </c>
    </row>
    <row r="92" spans="1:8" x14ac:dyDescent="0.25">
      <c r="A92" s="39"/>
      <c r="B92" s="83">
        <v>32132</v>
      </c>
      <c r="C92" s="83" t="s">
        <v>421</v>
      </c>
      <c r="D92" s="81">
        <f>' PRIHODI I RASHODI-izvori'!E215+' PRIHODI I RASHODI-izvori'!E97+' PRIHODI I RASHODI-izvori'!E391</f>
        <v>4303.13</v>
      </c>
      <c r="E92" s="81">
        <f>' PRIHODI I RASHODI-izvori'!F215+' PRIHODI I RASHODI-izvori'!F97+' PRIHODI I RASHODI-izvori'!F391</f>
        <v>5900.67</v>
      </c>
      <c r="F92" s="81">
        <f>' PRIHODI I RASHODI-izvori'!G215+' PRIHODI I RASHODI-izvori'!G97+' PRIHODI I RASHODI-izvori'!G391</f>
        <v>10142.67</v>
      </c>
      <c r="G92" s="81">
        <f>' PRIHODI I RASHODI-izvori'!H215+' PRIHODI I RASHODI-izvori'!H97+' PRIHODI I RASHODI-izvori'!H391</f>
        <v>9231.57</v>
      </c>
      <c r="H92" s="81">
        <f>' PRIHODI I RASHODI-izvori'!I215+' PRIHODI I RASHODI-izvori'!I97+' PRIHODI I RASHODI-izvori'!I391</f>
        <v>7773.38</v>
      </c>
    </row>
    <row r="93" spans="1:8" x14ac:dyDescent="0.25">
      <c r="A93" s="39"/>
      <c r="B93" s="84">
        <v>3214</v>
      </c>
      <c r="C93" s="84" t="s">
        <v>112</v>
      </c>
      <c r="D93" s="85">
        <f t="shared" ref="D93:H93" si="22">D94</f>
        <v>0</v>
      </c>
      <c r="E93" s="85">
        <f t="shared" si="22"/>
        <v>398.17</v>
      </c>
      <c r="F93" s="85">
        <f t="shared" si="22"/>
        <v>200</v>
      </c>
      <c r="G93" s="85">
        <f t="shared" si="22"/>
        <v>200</v>
      </c>
      <c r="H93" s="85">
        <f t="shared" si="22"/>
        <v>200</v>
      </c>
    </row>
    <row r="94" spans="1:8" x14ac:dyDescent="0.25">
      <c r="A94" s="39"/>
      <c r="B94" s="83">
        <v>32141</v>
      </c>
      <c r="C94" s="83" t="s">
        <v>422</v>
      </c>
      <c r="D94" s="81">
        <f>' PRIHODI I RASHODI-izvori'!E217</f>
        <v>0</v>
      </c>
      <c r="E94" s="81">
        <f>' PRIHODI I RASHODI-izvori'!F217</f>
        <v>398.17</v>
      </c>
      <c r="F94" s="81">
        <f>' PRIHODI I RASHODI-izvori'!G217</f>
        <v>200</v>
      </c>
      <c r="G94" s="81">
        <f>' PRIHODI I RASHODI-izvori'!H217</f>
        <v>200</v>
      </c>
      <c r="H94" s="81">
        <f>' PRIHODI I RASHODI-izvori'!I217</f>
        <v>200</v>
      </c>
    </row>
    <row r="95" spans="1:8" x14ac:dyDescent="0.25">
      <c r="A95" s="39"/>
      <c r="B95" s="84">
        <v>322</v>
      </c>
      <c r="C95" s="84" t="s">
        <v>114</v>
      </c>
      <c r="D95" s="85">
        <f t="shared" ref="D95:H95" si="23">D96+D102+D106+D111+D116+D118</f>
        <v>431247.24</v>
      </c>
      <c r="E95" s="85">
        <f t="shared" si="23"/>
        <v>181956.2</v>
      </c>
      <c r="F95" s="85">
        <f t="shared" si="23"/>
        <v>129494.55</v>
      </c>
      <c r="G95" s="85">
        <f t="shared" si="23"/>
        <v>132294.54999999999</v>
      </c>
      <c r="H95" s="85">
        <f t="shared" si="23"/>
        <v>137694.54999999999</v>
      </c>
    </row>
    <row r="96" spans="1:8" x14ac:dyDescent="0.25">
      <c r="A96" s="39"/>
      <c r="B96" s="84">
        <v>3221</v>
      </c>
      <c r="C96" s="84" t="s">
        <v>116</v>
      </c>
      <c r="D96" s="85">
        <f t="shared" ref="D96:H96" si="24">SUM(D97:D101)</f>
        <v>31308.19</v>
      </c>
      <c r="E96" s="85">
        <f t="shared" si="24"/>
        <v>36501.820000000007</v>
      </c>
      <c r="F96" s="85">
        <f t="shared" si="24"/>
        <v>30439.190000000002</v>
      </c>
      <c r="G96" s="85">
        <f t="shared" si="24"/>
        <v>29589.190000000002</v>
      </c>
      <c r="H96" s="85">
        <f t="shared" si="24"/>
        <v>30739.190000000002</v>
      </c>
    </row>
    <row r="97" spans="1:8" x14ac:dyDescent="0.25">
      <c r="A97" s="39"/>
      <c r="B97" s="83">
        <v>32211</v>
      </c>
      <c r="C97" s="83" t="s">
        <v>423</v>
      </c>
      <c r="D97" s="81">
        <f>' PRIHODI I RASHODI-izvori'!E220+' PRIHODI I RASHODI-izvori'!E101+' PRIHODI I RASHODI-izvori'!E22+' PRIHODI I RASHODI-izvori'!E394</f>
        <v>15555.7</v>
      </c>
      <c r="E97" s="81">
        <f>' PRIHODI I RASHODI-izvori'!F220+' PRIHODI I RASHODI-izvori'!F101+' PRIHODI I RASHODI-izvori'!F22+' PRIHODI I RASHODI-izvori'!F394</f>
        <v>15439.19</v>
      </c>
      <c r="F97" s="81">
        <f>' PRIHODI I RASHODI-izvori'!G220+' PRIHODI I RASHODI-izvori'!G101+' PRIHODI I RASHODI-izvori'!G22+' PRIHODI I RASHODI-izvori'!G394</f>
        <v>13439.19</v>
      </c>
      <c r="G97" s="81">
        <f>' PRIHODI I RASHODI-izvori'!H220+' PRIHODI I RASHODI-izvori'!H101+' PRIHODI I RASHODI-izvori'!H22+' PRIHODI I RASHODI-izvori'!H394</f>
        <v>13139.19</v>
      </c>
      <c r="H97" s="81">
        <f>' PRIHODI I RASHODI-izvori'!I220+' PRIHODI I RASHODI-izvori'!I101+' PRIHODI I RASHODI-izvori'!I22+' PRIHODI I RASHODI-izvori'!I394</f>
        <v>13639.19</v>
      </c>
    </row>
    <row r="98" spans="1:8" x14ac:dyDescent="0.25">
      <c r="A98" s="39"/>
      <c r="B98" s="83">
        <v>32212</v>
      </c>
      <c r="C98" s="83" t="s">
        <v>424</v>
      </c>
      <c r="D98" s="81">
        <f>' PRIHODI I RASHODI-izvori'!E221</f>
        <v>0</v>
      </c>
      <c r="E98" s="81">
        <f>' PRIHODI I RASHODI-izvori'!F221</f>
        <v>500</v>
      </c>
      <c r="F98" s="81">
        <f>' PRIHODI I RASHODI-izvori'!G221</f>
        <v>300</v>
      </c>
      <c r="G98" s="81">
        <f>' PRIHODI I RASHODI-izvori'!H221</f>
        <v>350</v>
      </c>
      <c r="H98" s="81">
        <f>' PRIHODI I RASHODI-izvori'!I221</f>
        <v>400</v>
      </c>
    </row>
    <row r="99" spans="1:8" x14ac:dyDescent="0.25">
      <c r="A99" s="39"/>
      <c r="B99" s="83">
        <v>32214</v>
      </c>
      <c r="C99" s="83" t="s">
        <v>425</v>
      </c>
      <c r="D99" s="81">
        <f>' PRIHODI I RASHODI-izvori'!E222+' PRIHODI I RASHODI-izvori'!E23</f>
        <v>13684.64</v>
      </c>
      <c r="E99" s="81">
        <f>' PRIHODI I RASHODI-izvori'!F222+' PRIHODI I RASHODI-izvori'!F23</f>
        <v>17000</v>
      </c>
      <c r="F99" s="81">
        <f>' PRIHODI I RASHODI-izvori'!G222+' PRIHODI I RASHODI-izvori'!G23</f>
        <v>13500</v>
      </c>
      <c r="G99" s="81">
        <f>' PRIHODI I RASHODI-izvori'!H222+' PRIHODI I RASHODI-izvori'!H23</f>
        <v>14000</v>
      </c>
      <c r="H99" s="81">
        <f>' PRIHODI I RASHODI-izvori'!I222+' PRIHODI I RASHODI-izvori'!I23</f>
        <v>14500</v>
      </c>
    </row>
    <row r="100" spans="1:8" x14ac:dyDescent="0.25">
      <c r="A100" s="39"/>
      <c r="B100" s="83">
        <v>32215</v>
      </c>
      <c r="C100" s="83" t="s">
        <v>426</v>
      </c>
      <c r="D100" s="81">
        <f>' PRIHODI I RASHODI-izvori'!E223</f>
        <v>0</v>
      </c>
      <c r="E100" s="81">
        <f>' PRIHODI I RASHODI-izvori'!F223</f>
        <v>700</v>
      </c>
      <c r="F100" s="81">
        <f>' PRIHODI I RASHODI-izvori'!G223</f>
        <v>500</v>
      </c>
      <c r="G100" s="81">
        <f>' PRIHODI I RASHODI-izvori'!H223</f>
        <v>550</v>
      </c>
      <c r="H100" s="81">
        <f>' PRIHODI I RASHODI-izvori'!I223</f>
        <v>600</v>
      </c>
    </row>
    <row r="101" spans="1:8" x14ac:dyDescent="0.25">
      <c r="A101" s="39"/>
      <c r="B101" s="83">
        <v>32219</v>
      </c>
      <c r="C101" s="83" t="s">
        <v>427</v>
      </c>
      <c r="D101" s="81">
        <f>' PRIHODI I RASHODI-izvori'!E224+' PRIHODI I RASHODI-izvori'!E395</f>
        <v>2067.85</v>
      </c>
      <c r="E101" s="81">
        <f>' PRIHODI I RASHODI-izvori'!F224+' PRIHODI I RASHODI-izvori'!F395</f>
        <v>2862.630000000001</v>
      </c>
      <c r="F101" s="81">
        <f>' PRIHODI I RASHODI-izvori'!G224+' PRIHODI I RASHODI-izvori'!G395</f>
        <v>2700</v>
      </c>
      <c r="G101" s="81">
        <f>' PRIHODI I RASHODI-izvori'!H224+' PRIHODI I RASHODI-izvori'!H395</f>
        <v>1550</v>
      </c>
      <c r="H101" s="81">
        <f>' PRIHODI I RASHODI-izvori'!I224+' PRIHODI I RASHODI-izvori'!I395</f>
        <v>1600</v>
      </c>
    </row>
    <row r="102" spans="1:8" x14ac:dyDescent="0.25">
      <c r="A102" s="39"/>
      <c r="B102" s="84">
        <v>3222</v>
      </c>
      <c r="C102" s="84" t="s">
        <v>118</v>
      </c>
      <c r="D102" s="85">
        <f t="shared" ref="D102:H102" si="25">SUM(D103:D105)</f>
        <v>236716.97</v>
      </c>
      <c r="E102" s="85">
        <f t="shared" si="25"/>
        <v>0</v>
      </c>
      <c r="F102" s="85">
        <f t="shared" si="25"/>
        <v>0</v>
      </c>
      <c r="G102" s="85">
        <f t="shared" si="25"/>
        <v>0</v>
      </c>
      <c r="H102" s="85">
        <f t="shared" si="25"/>
        <v>0</v>
      </c>
    </row>
    <row r="103" spans="1:8" x14ac:dyDescent="0.25">
      <c r="A103" s="39"/>
      <c r="B103" s="83">
        <v>32221</v>
      </c>
      <c r="C103" s="83" t="s">
        <v>428</v>
      </c>
      <c r="D103" s="81">
        <f>' PRIHODI I RASHODI-izvori'!E226+' PRIHODI I RASHODI-izvori'!E103+' PRIHODI I RASHODI-izvori'!E25</f>
        <v>218514.66</v>
      </c>
      <c r="E103" s="81">
        <f>' PRIHODI I RASHODI-izvori'!F226+' PRIHODI I RASHODI-izvori'!F103+' PRIHODI I RASHODI-izvori'!F25</f>
        <v>0</v>
      </c>
      <c r="F103" s="81">
        <f>' PRIHODI I RASHODI-izvori'!G226+' PRIHODI I RASHODI-izvori'!G103+' PRIHODI I RASHODI-izvori'!G25</f>
        <v>0</v>
      </c>
      <c r="G103" s="81">
        <f>' PRIHODI I RASHODI-izvori'!H226+' PRIHODI I RASHODI-izvori'!H103+' PRIHODI I RASHODI-izvori'!H25</f>
        <v>0</v>
      </c>
      <c r="H103" s="81">
        <f>' PRIHODI I RASHODI-izvori'!I226+' PRIHODI I RASHODI-izvori'!I103+' PRIHODI I RASHODI-izvori'!I25</f>
        <v>0</v>
      </c>
    </row>
    <row r="104" spans="1:8" x14ac:dyDescent="0.25">
      <c r="A104" s="39"/>
      <c r="B104" s="83">
        <v>32226</v>
      </c>
      <c r="C104" s="83" t="s">
        <v>429</v>
      </c>
      <c r="D104" s="81">
        <f>' PRIHODI I RASHODI-izvori'!E227+' PRIHODI I RASHODI-izvori'!E104</f>
        <v>17989.09</v>
      </c>
      <c r="E104" s="81">
        <f>' PRIHODI I RASHODI-izvori'!F227+' PRIHODI I RASHODI-izvori'!F104</f>
        <v>0</v>
      </c>
      <c r="F104" s="81">
        <f>' PRIHODI I RASHODI-izvori'!G227+' PRIHODI I RASHODI-izvori'!G104</f>
        <v>0</v>
      </c>
      <c r="G104" s="81">
        <f>' PRIHODI I RASHODI-izvori'!H227+' PRIHODI I RASHODI-izvori'!H104</f>
        <v>0</v>
      </c>
      <c r="H104" s="81">
        <f>' PRIHODI I RASHODI-izvori'!I227+' PRIHODI I RASHODI-izvori'!I104</f>
        <v>0</v>
      </c>
    </row>
    <row r="105" spans="1:8" x14ac:dyDescent="0.25">
      <c r="A105" s="39"/>
      <c r="B105" s="83">
        <v>32229</v>
      </c>
      <c r="C105" s="83" t="s">
        <v>430</v>
      </c>
      <c r="D105" s="81">
        <f>' PRIHODI I RASHODI-izvori'!E228</f>
        <v>213.22</v>
      </c>
      <c r="E105" s="81">
        <f>' PRIHODI I RASHODI-izvori'!F228</f>
        <v>0</v>
      </c>
      <c r="F105" s="81">
        <f>' PRIHODI I RASHODI-izvori'!G228</f>
        <v>0</v>
      </c>
      <c r="G105" s="81">
        <f>' PRIHODI I RASHODI-izvori'!H228</f>
        <v>0</v>
      </c>
      <c r="H105" s="81">
        <f>' PRIHODI I RASHODI-izvori'!I228</f>
        <v>0</v>
      </c>
    </row>
    <row r="106" spans="1:8" x14ac:dyDescent="0.25">
      <c r="A106" s="39"/>
      <c r="B106" s="84">
        <v>3223</v>
      </c>
      <c r="C106" s="84" t="s">
        <v>120</v>
      </c>
      <c r="D106" s="85">
        <f t="shared" ref="D106:H106" si="26">SUM(D107:D110)</f>
        <v>149681.41999999998</v>
      </c>
      <c r="E106" s="85">
        <f t="shared" si="26"/>
        <v>106305.36</v>
      </c>
      <c r="F106" s="85">
        <f t="shared" si="26"/>
        <v>85505.36</v>
      </c>
      <c r="G106" s="85">
        <f t="shared" si="26"/>
        <v>88105.36</v>
      </c>
      <c r="H106" s="85">
        <f t="shared" si="26"/>
        <v>91205.36</v>
      </c>
    </row>
    <row r="107" spans="1:8" x14ac:dyDescent="0.25">
      <c r="A107" s="39"/>
      <c r="B107" s="83">
        <v>32231</v>
      </c>
      <c r="C107" s="83" t="s">
        <v>432</v>
      </c>
      <c r="D107" s="81">
        <f>' PRIHODI I RASHODI-izvori'!E230+' PRIHODI I RASHODI-izvori'!E27</f>
        <v>29068.43</v>
      </c>
      <c r="E107" s="81">
        <f>' PRIHODI I RASHODI-izvori'!F230+' PRIHODI I RASHODI-izvori'!F27</f>
        <v>29000</v>
      </c>
      <c r="F107" s="81">
        <f>' PRIHODI I RASHODI-izvori'!G230+' PRIHODI I RASHODI-izvori'!G27</f>
        <v>27000</v>
      </c>
      <c r="G107" s="81">
        <f>' PRIHODI I RASHODI-izvori'!H230+' PRIHODI I RASHODI-izvori'!H27</f>
        <v>27500</v>
      </c>
      <c r="H107" s="81">
        <f>' PRIHODI I RASHODI-izvori'!I230+' PRIHODI I RASHODI-izvori'!I27</f>
        <v>28000</v>
      </c>
    </row>
    <row r="108" spans="1:8" x14ac:dyDescent="0.25">
      <c r="A108" s="39"/>
      <c r="B108" s="83">
        <v>32232</v>
      </c>
      <c r="C108" s="83" t="s">
        <v>433</v>
      </c>
      <c r="D108" s="81">
        <f>' PRIHODI I RASHODI-izvori'!E231</f>
        <v>2531.2399999999998</v>
      </c>
      <c r="E108" s="81">
        <f>' PRIHODI I RASHODI-izvori'!F231</f>
        <v>2000</v>
      </c>
      <c r="F108" s="81">
        <f>' PRIHODI I RASHODI-izvori'!G231</f>
        <v>2200</v>
      </c>
      <c r="G108" s="81">
        <f>' PRIHODI I RASHODI-izvori'!H231</f>
        <v>2300</v>
      </c>
      <c r="H108" s="81">
        <f>' PRIHODI I RASHODI-izvori'!I231</f>
        <v>2400</v>
      </c>
    </row>
    <row r="109" spans="1:8" x14ac:dyDescent="0.25">
      <c r="A109" s="39"/>
      <c r="B109" s="83">
        <v>32233</v>
      </c>
      <c r="C109" s="83" t="s">
        <v>434</v>
      </c>
      <c r="D109" s="81">
        <f>' PRIHODI I RASHODI-izvori'!E232+' PRIHODI I RASHODI-izvori'!E106+' PRIHODI I RASHODI-izvori'!E28</f>
        <v>35537.160000000003</v>
      </c>
      <c r="E109" s="81">
        <f>' PRIHODI I RASHODI-izvori'!F232+' PRIHODI I RASHODI-izvori'!F106+' PRIHODI I RASHODI-izvori'!F28</f>
        <v>49500</v>
      </c>
      <c r="F109" s="81">
        <f>' PRIHODI I RASHODI-izvori'!G232+' PRIHODI I RASHODI-izvori'!G106+' PRIHODI I RASHODI-izvori'!G28</f>
        <v>33500</v>
      </c>
      <c r="G109" s="81">
        <f>' PRIHODI I RASHODI-izvori'!H232+' PRIHODI I RASHODI-izvori'!H106+' PRIHODI I RASHODI-izvori'!H28</f>
        <v>35500</v>
      </c>
      <c r="H109" s="81">
        <f>' PRIHODI I RASHODI-izvori'!I232+' PRIHODI I RASHODI-izvori'!I106+' PRIHODI I RASHODI-izvori'!I28</f>
        <v>37500</v>
      </c>
    </row>
    <row r="110" spans="1:8" x14ac:dyDescent="0.25">
      <c r="A110" s="39"/>
      <c r="B110" s="83">
        <v>32234</v>
      </c>
      <c r="C110" s="83" t="s">
        <v>431</v>
      </c>
      <c r="D110" s="81">
        <f>' PRIHODI I RASHODI-izvori'!E233+' PRIHODI I RASHODI-izvori'!E107+' PRIHODI I RASHODI-izvori'!E398</f>
        <v>82544.59</v>
      </c>
      <c r="E110" s="81">
        <f>' PRIHODI I RASHODI-izvori'!F233+' PRIHODI I RASHODI-izvori'!F107+' PRIHODI I RASHODI-izvori'!F398</f>
        <v>25805.360000000001</v>
      </c>
      <c r="F110" s="81">
        <f>' PRIHODI I RASHODI-izvori'!G233+' PRIHODI I RASHODI-izvori'!G107+' PRIHODI I RASHODI-izvori'!G398</f>
        <v>22805.360000000001</v>
      </c>
      <c r="G110" s="81">
        <f>' PRIHODI I RASHODI-izvori'!H233+' PRIHODI I RASHODI-izvori'!H107+' PRIHODI I RASHODI-izvori'!H398</f>
        <v>22805.360000000001</v>
      </c>
      <c r="H110" s="81">
        <f>' PRIHODI I RASHODI-izvori'!I233+' PRIHODI I RASHODI-izvori'!I107+' PRIHODI I RASHODI-izvori'!I398</f>
        <v>23305.360000000001</v>
      </c>
    </row>
    <row r="111" spans="1:8" x14ac:dyDescent="0.25">
      <c r="A111" s="39"/>
      <c r="B111" s="84">
        <v>3224</v>
      </c>
      <c r="C111" s="84" t="s">
        <v>296</v>
      </c>
      <c r="D111" s="85">
        <f t="shared" ref="D111:H111" si="27">SUM(D112:D115)</f>
        <v>5636.84</v>
      </c>
      <c r="E111" s="85">
        <f t="shared" si="27"/>
        <v>23222.28</v>
      </c>
      <c r="F111" s="85">
        <f t="shared" si="27"/>
        <v>6050</v>
      </c>
      <c r="G111" s="85">
        <f t="shared" si="27"/>
        <v>6600</v>
      </c>
      <c r="H111" s="85">
        <f t="shared" si="27"/>
        <v>7250</v>
      </c>
    </row>
    <row r="112" spans="1:8" x14ac:dyDescent="0.25">
      <c r="A112" s="39"/>
      <c r="B112" s="83">
        <v>32241</v>
      </c>
      <c r="C112" s="83" t="s">
        <v>435</v>
      </c>
      <c r="D112" s="81">
        <f>' PRIHODI I RASHODI-izvori'!E30+' PRIHODI I RASHODI-izvori'!E235+' PRIHODI I RASHODI-izvori'!E457</f>
        <v>5030.38</v>
      </c>
      <c r="E112" s="81">
        <f>' PRIHODI I RASHODI-izvori'!F30+' PRIHODI I RASHODI-izvori'!F235+' PRIHODI I RASHODI-izvori'!F457</f>
        <v>17150</v>
      </c>
      <c r="F112" s="81">
        <f>' PRIHODI I RASHODI-izvori'!G30+' PRIHODI I RASHODI-izvori'!G235+' PRIHODI I RASHODI-izvori'!G457</f>
        <v>2500</v>
      </c>
      <c r="G112" s="81">
        <f>' PRIHODI I RASHODI-izvori'!H30+' PRIHODI I RASHODI-izvori'!H235+' PRIHODI I RASHODI-izvori'!H457</f>
        <v>2750</v>
      </c>
      <c r="H112" s="81">
        <f>' PRIHODI I RASHODI-izvori'!I30+' PRIHODI I RASHODI-izvori'!I235+' PRIHODI I RASHODI-izvori'!I457</f>
        <v>3000</v>
      </c>
    </row>
    <row r="113" spans="1:8" x14ac:dyDescent="0.25">
      <c r="A113" s="39"/>
      <c r="B113" s="83">
        <v>32242</v>
      </c>
      <c r="C113" s="83" t="s">
        <v>437</v>
      </c>
      <c r="D113" s="81">
        <f>' PRIHODI I RASHODI-izvori'!E236</f>
        <v>191.25</v>
      </c>
      <c r="E113" s="81">
        <f>' PRIHODI I RASHODI-izvori'!F236</f>
        <v>3000</v>
      </c>
      <c r="F113" s="81">
        <f>' PRIHODI I RASHODI-izvori'!G236</f>
        <v>2750</v>
      </c>
      <c r="G113" s="81">
        <f>' PRIHODI I RASHODI-izvori'!H236</f>
        <v>2850</v>
      </c>
      <c r="H113" s="81">
        <f>' PRIHODI I RASHODI-izvori'!I236</f>
        <v>3050</v>
      </c>
    </row>
    <row r="114" spans="1:8" x14ac:dyDescent="0.25">
      <c r="A114" s="39"/>
      <c r="B114" s="83">
        <v>32243</v>
      </c>
      <c r="C114" s="83" t="s">
        <v>436</v>
      </c>
      <c r="D114" s="81">
        <f>' PRIHODI I RASHODI-izvori'!E237</f>
        <v>415.21</v>
      </c>
      <c r="E114" s="81">
        <f>' PRIHODI I RASHODI-izvori'!F237</f>
        <v>2500</v>
      </c>
      <c r="F114" s="81">
        <f>' PRIHODI I RASHODI-izvori'!G237</f>
        <v>500</v>
      </c>
      <c r="G114" s="81">
        <f>' PRIHODI I RASHODI-izvori'!H237</f>
        <v>600</v>
      </c>
      <c r="H114" s="81">
        <f>' PRIHODI I RASHODI-izvori'!I237</f>
        <v>700</v>
      </c>
    </row>
    <row r="115" spans="1:8" x14ac:dyDescent="0.25">
      <c r="A115" s="39"/>
      <c r="B115" s="83">
        <v>32244</v>
      </c>
      <c r="C115" s="83" t="s">
        <v>438</v>
      </c>
      <c r="D115" s="81">
        <f>' PRIHODI I RASHODI-izvori'!E238</f>
        <v>0</v>
      </c>
      <c r="E115" s="81">
        <f>' PRIHODI I RASHODI-izvori'!F238</f>
        <v>572.28</v>
      </c>
      <c r="F115" s="81">
        <f>' PRIHODI I RASHODI-izvori'!G238</f>
        <v>300</v>
      </c>
      <c r="G115" s="81">
        <f>' PRIHODI I RASHODI-izvori'!H238</f>
        <v>400</v>
      </c>
      <c r="H115" s="81">
        <f>' PRIHODI I RASHODI-izvori'!I238</f>
        <v>500</v>
      </c>
    </row>
    <row r="116" spans="1:8" x14ac:dyDescent="0.25">
      <c r="A116" s="39"/>
      <c r="B116" s="84">
        <v>3225</v>
      </c>
      <c r="C116" s="84" t="s">
        <v>124</v>
      </c>
      <c r="D116" s="85">
        <f t="shared" ref="D116:H116" si="28">SUM(D117)</f>
        <v>4563.8999999999996</v>
      </c>
      <c r="E116" s="85">
        <f t="shared" si="28"/>
        <v>6636.14</v>
      </c>
      <c r="F116" s="85">
        <f t="shared" si="28"/>
        <v>5000</v>
      </c>
      <c r="G116" s="85">
        <f t="shared" si="28"/>
        <v>5250</v>
      </c>
      <c r="H116" s="85">
        <f t="shared" si="28"/>
        <v>5500</v>
      </c>
    </row>
    <row r="117" spans="1:8" x14ac:dyDescent="0.25">
      <c r="A117" s="39"/>
      <c r="B117" s="83">
        <v>32251</v>
      </c>
      <c r="C117" s="83" t="s">
        <v>124</v>
      </c>
      <c r="D117" s="81">
        <f>' PRIHODI I RASHODI-izvori'!E240+' PRIHODI I RASHODI-izvori'!E111</f>
        <v>4563.8999999999996</v>
      </c>
      <c r="E117" s="81">
        <f>' PRIHODI I RASHODI-izvori'!F240+' PRIHODI I RASHODI-izvori'!F111</f>
        <v>6636.14</v>
      </c>
      <c r="F117" s="81">
        <f>' PRIHODI I RASHODI-izvori'!G240+' PRIHODI I RASHODI-izvori'!G111</f>
        <v>5000</v>
      </c>
      <c r="G117" s="81">
        <f>' PRIHODI I RASHODI-izvori'!H240+' PRIHODI I RASHODI-izvori'!H111</f>
        <v>5250</v>
      </c>
      <c r="H117" s="81">
        <f>' PRIHODI I RASHODI-izvori'!I240+' PRIHODI I RASHODI-izvori'!I111</f>
        <v>5500</v>
      </c>
    </row>
    <row r="118" spans="1:8" x14ac:dyDescent="0.25">
      <c r="A118" s="39"/>
      <c r="B118" s="84">
        <v>3227</v>
      </c>
      <c r="C118" s="84" t="s">
        <v>126</v>
      </c>
      <c r="D118" s="85">
        <f t="shared" ref="D118:H118" si="29">SUM(D119)</f>
        <v>3339.92</v>
      </c>
      <c r="E118" s="85">
        <f t="shared" si="29"/>
        <v>9290.6</v>
      </c>
      <c r="F118" s="85">
        <f t="shared" si="29"/>
        <v>2500</v>
      </c>
      <c r="G118" s="85">
        <f t="shared" si="29"/>
        <v>2750</v>
      </c>
      <c r="H118" s="85">
        <f t="shared" si="29"/>
        <v>3000</v>
      </c>
    </row>
    <row r="119" spans="1:8" x14ac:dyDescent="0.25">
      <c r="A119" s="39"/>
      <c r="B119" s="83">
        <v>32271</v>
      </c>
      <c r="C119" s="83" t="s">
        <v>126</v>
      </c>
      <c r="D119" s="81">
        <f>' PRIHODI I RASHODI-izvori'!E242</f>
        <v>3339.92</v>
      </c>
      <c r="E119" s="81">
        <f>' PRIHODI I RASHODI-izvori'!F242</f>
        <v>9290.6</v>
      </c>
      <c r="F119" s="81">
        <f>' PRIHODI I RASHODI-izvori'!G242</f>
        <v>2500</v>
      </c>
      <c r="G119" s="81">
        <f>' PRIHODI I RASHODI-izvori'!H242</f>
        <v>2750</v>
      </c>
      <c r="H119" s="81">
        <f>' PRIHODI I RASHODI-izvori'!I242</f>
        <v>3000</v>
      </c>
    </row>
    <row r="120" spans="1:8" x14ac:dyDescent="0.25">
      <c r="A120" s="39"/>
      <c r="B120" s="84">
        <v>323</v>
      </c>
      <c r="C120" s="84" t="s">
        <v>128</v>
      </c>
      <c r="D120" s="85">
        <f t="shared" ref="D120:H120" si="30">D121+D125+D129+D131+D136+D138+D140+D145+D147</f>
        <v>309522.18</v>
      </c>
      <c r="E120" s="85">
        <f t="shared" si="30"/>
        <v>387805.05</v>
      </c>
      <c r="F120" s="85">
        <f t="shared" si="30"/>
        <v>322573.42000000004</v>
      </c>
      <c r="G120" s="85">
        <f t="shared" si="30"/>
        <v>329123.42000000004</v>
      </c>
      <c r="H120" s="85">
        <f t="shared" si="30"/>
        <v>337013.24</v>
      </c>
    </row>
    <row r="121" spans="1:8" x14ac:dyDescent="0.25">
      <c r="A121" s="39"/>
      <c r="B121" s="84">
        <v>3231</v>
      </c>
      <c r="C121" s="84" t="s">
        <v>297</v>
      </c>
      <c r="D121" s="85">
        <f>SUM(D122:D124)</f>
        <v>20247.75</v>
      </c>
      <c r="E121" s="85">
        <f t="shared" ref="E121:H121" si="31">SUM(E122:E124)</f>
        <v>27035.65</v>
      </c>
      <c r="F121" s="85">
        <f t="shared" si="31"/>
        <v>19750</v>
      </c>
      <c r="G121" s="85">
        <f t="shared" si="31"/>
        <v>19550</v>
      </c>
      <c r="H121" s="85">
        <f t="shared" si="31"/>
        <v>20150</v>
      </c>
    </row>
    <row r="122" spans="1:8" x14ac:dyDescent="0.25">
      <c r="A122" s="39"/>
      <c r="B122" s="83">
        <v>32311</v>
      </c>
      <c r="C122" s="83" t="s">
        <v>439</v>
      </c>
      <c r="D122" s="81">
        <f>' PRIHODI I RASHODI-izvori'!E33+' PRIHODI I RASHODI-izvori'!E245</f>
        <v>19646.55</v>
      </c>
      <c r="E122" s="81">
        <f>' PRIHODI I RASHODI-izvori'!F33+' PRIHODI I RASHODI-izvori'!F245</f>
        <v>22500</v>
      </c>
      <c r="F122" s="81">
        <f>' PRIHODI I RASHODI-izvori'!G33+' PRIHODI I RASHODI-izvori'!G245</f>
        <v>18000</v>
      </c>
      <c r="G122" s="81">
        <f>' PRIHODI I RASHODI-izvori'!H33+' PRIHODI I RASHODI-izvori'!H245</f>
        <v>18500</v>
      </c>
      <c r="H122" s="81">
        <f>' PRIHODI I RASHODI-izvori'!I33+' PRIHODI I RASHODI-izvori'!I245</f>
        <v>19000</v>
      </c>
    </row>
    <row r="123" spans="1:8" x14ac:dyDescent="0.25">
      <c r="A123" s="39"/>
      <c r="B123" s="101">
        <v>32313</v>
      </c>
      <c r="C123" s="101" t="s">
        <v>440</v>
      </c>
      <c r="D123" s="81">
        <f>' PRIHODI I RASHODI-izvori'!E246</f>
        <v>594.20000000000005</v>
      </c>
      <c r="E123" s="81">
        <f>' PRIHODI I RASHODI-izvori'!F246</f>
        <v>1735.65</v>
      </c>
      <c r="F123" s="81">
        <f>' PRIHODI I RASHODI-izvori'!G246</f>
        <v>600</v>
      </c>
      <c r="G123" s="81">
        <f>' PRIHODI I RASHODI-izvori'!H246</f>
        <v>650</v>
      </c>
      <c r="H123" s="81">
        <f>' PRIHODI I RASHODI-izvori'!I246</f>
        <v>700</v>
      </c>
    </row>
    <row r="124" spans="1:8" x14ac:dyDescent="0.25">
      <c r="A124" s="39"/>
      <c r="B124" s="75">
        <v>32319</v>
      </c>
      <c r="C124" s="101" t="s">
        <v>577</v>
      </c>
      <c r="D124" s="81">
        <f>' PRIHODI I RASHODI-izvori'!E247+' PRIHODI I RASHODI-izvori'!E403</f>
        <v>7</v>
      </c>
      <c r="E124" s="81">
        <f>' PRIHODI I RASHODI-izvori'!F247+' PRIHODI I RASHODI-izvori'!F403</f>
        <v>2800</v>
      </c>
      <c r="F124" s="81">
        <f>' PRIHODI I RASHODI-izvori'!G247+' PRIHODI I RASHODI-izvori'!G403</f>
        <v>1150</v>
      </c>
      <c r="G124" s="81">
        <f>' PRIHODI I RASHODI-izvori'!H247+' PRIHODI I RASHODI-izvori'!H403</f>
        <v>400</v>
      </c>
      <c r="H124" s="81">
        <f>' PRIHODI I RASHODI-izvori'!I247+' PRIHODI I RASHODI-izvori'!I403</f>
        <v>450</v>
      </c>
    </row>
    <row r="125" spans="1:8" x14ac:dyDescent="0.25">
      <c r="A125" s="39"/>
      <c r="B125" s="102">
        <v>3232</v>
      </c>
      <c r="C125" s="102" t="s">
        <v>132</v>
      </c>
      <c r="D125" s="85">
        <f t="shared" ref="D125:H125" si="32">SUM(D126:D128)</f>
        <v>83165.200000000012</v>
      </c>
      <c r="E125" s="85">
        <f t="shared" si="32"/>
        <v>104117.3</v>
      </c>
      <c r="F125" s="85">
        <f t="shared" si="32"/>
        <v>77427.58</v>
      </c>
      <c r="G125" s="85">
        <f t="shared" si="32"/>
        <v>79677.58</v>
      </c>
      <c r="H125" s="85">
        <f t="shared" si="32"/>
        <v>81927.58</v>
      </c>
    </row>
    <row r="126" spans="1:8" x14ac:dyDescent="0.25">
      <c r="A126" s="39"/>
      <c r="B126" s="101">
        <v>32321</v>
      </c>
      <c r="C126" s="83" t="s">
        <v>442</v>
      </c>
      <c r="D126" s="81">
        <f>' PRIHODI I RASHODI-izvori'!E35+' PRIHODI I RASHODI-izvori'!E249+' PRIHODI I RASHODI-izvori'!E117+' PRIHODI I RASHODI-izvori'!E461</f>
        <v>20082.59</v>
      </c>
      <c r="E126" s="81">
        <f>' PRIHODI I RASHODI-izvori'!F35+' PRIHODI I RASHODI-izvori'!F249+' PRIHODI I RASHODI-izvori'!F117+' PRIHODI I RASHODI-izvori'!F461</f>
        <v>51360</v>
      </c>
      <c r="F126" s="81">
        <f>' PRIHODI I RASHODI-izvori'!G35+' PRIHODI I RASHODI-izvori'!G249+' PRIHODI I RASHODI-izvori'!G117+' PRIHODI I RASHODI-izvori'!G461</f>
        <v>36641</v>
      </c>
      <c r="G126" s="81">
        <f>' PRIHODI I RASHODI-izvori'!H35+' PRIHODI I RASHODI-izvori'!H249+' PRIHODI I RASHODI-izvori'!H117+' PRIHODI I RASHODI-izvori'!H461</f>
        <v>37641</v>
      </c>
      <c r="H126" s="81">
        <f>' PRIHODI I RASHODI-izvori'!I35+' PRIHODI I RASHODI-izvori'!I249+' PRIHODI I RASHODI-izvori'!I117+' PRIHODI I RASHODI-izvori'!I461</f>
        <v>38641</v>
      </c>
    </row>
    <row r="127" spans="1:8" x14ac:dyDescent="0.25">
      <c r="A127" s="39"/>
      <c r="B127" s="101">
        <v>32322</v>
      </c>
      <c r="C127" s="83" t="s">
        <v>443</v>
      </c>
      <c r="D127" s="81">
        <f>' PRIHODI I RASHODI-izvori'!E36+' PRIHODI I RASHODI-izvori'!E250+' PRIHODI I RASHODI-izvori'!E118</f>
        <v>21188.400000000001</v>
      </c>
      <c r="E127" s="81">
        <f>' PRIHODI I RASHODI-izvori'!F36+' PRIHODI I RASHODI-izvori'!F250+' PRIHODI I RASHODI-izvori'!F118</f>
        <v>20250</v>
      </c>
      <c r="F127" s="81">
        <f>' PRIHODI I RASHODI-izvori'!G36+' PRIHODI I RASHODI-izvori'!G250+' PRIHODI I RASHODI-izvori'!G118</f>
        <v>19510</v>
      </c>
      <c r="G127" s="81">
        <f>' PRIHODI I RASHODI-izvori'!H36+' PRIHODI I RASHODI-izvori'!H250+' PRIHODI I RASHODI-izvori'!H118</f>
        <v>20510</v>
      </c>
      <c r="H127" s="81">
        <f>' PRIHODI I RASHODI-izvori'!I36+' PRIHODI I RASHODI-izvori'!I250+' PRIHODI I RASHODI-izvori'!I118</f>
        <v>21510</v>
      </c>
    </row>
    <row r="128" spans="1:8" x14ac:dyDescent="0.25">
      <c r="A128" s="39"/>
      <c r="B128" s="83">
        <v>32323</v>
      </c>
      <c r="C128" s="83" t="s">
        <v>441</v>
      </c>
      <c r="D128" s="81">
        <f>' PRIHODI I RASHODI-izvori'!E37+' PRIHODI I RASHODI-izvori'!E251+' PRIHODI I RASHODI-izvori'!E119</f>
        <v>41894.21</v>
      </c>
      <c r="E128" s="81">
        <f>' PRIHODI I RASHODI-izvori'!F37+' PRIHODI I RASHODI-izvori'!F251+' PRIHODI I RASHODI-izvori'!F119</f>
        <v>32507.300000000003</v>
      </c>
      <c r="F128" s="81">
        <f>' PRIHODI I RASHODI-izvori'!G37+' PRIHODI I RASHODI-izvori'!G251+' PRIHODI I RASHODI-izvori'!G119</f>
        <v>21276.58</v>
      </c>
      <c r="G128" s="81">
        <f>' PRIHODI I RASHODI-izvori'!H37+' PRIHODI I RASHODI-izvori'!H251+' PRIHODI I RASHODI-izvori'!H119</f>
        <v>21526.58</v>
      </c>
      <c r="H128" s="81">
        <f>' PRIHODI I RASHODI-izvori'!I37+' PRIHODI I RASHODI-izvori'!I251+' PRIHODI I RASHODI-izvori'!I119</f>
        <v>21776.58</v>
      </c>
    </row>
    <row r="129" spans="1:8" x14ac:dyDescent="0.25">
      <c r="A129" s="39"/>
      <c r="B129" s="84">
        <v>3233</v>
      </c>
      <c r="C129" s="84" t="s">
        <v>134</v>
      </c>
      <c r="D129" s="85">
        <f t="shared" ref="D129:H129" si="33">SUM(D130)</f>
        <v>0</v>
      </c>
      <c r="E129" s="85">
        <f t="shared" si="33"/>
        <v>663.61</v>
      </c>
      <c r="F129" s="85">
        <f t="shared" si="33"/>
        <v>663.61</v>
      </c>
      <c r="G129" s="85">
        <f t="shared" si="33"/>
        <v>663.61</v>
      </c>
      <c r="H129" s="85">
        <f t="shared" si="33"/>
        <v>663.61</v>
      </c>
    </row>
    <row r="130" spans="1:8" x14ac:dyDescent="0.25">
      <c r="A130" s="39"/>
      <c r="B130" s="83">
        <v>32339</v>
      </c>
      <c r="C130" s="83" t="s">
        <v>444</v>
      </c>
      <c r="D130" s="81">
        <f>' PRIHODI I RASHODI-izvori'!E253</f>
        <v>0</v>
      </c>
      <c r="E130" s="81">
        <f>' PRIHODI I RASHODI-izvori'!F253</f>
        <v>663.61</v>
      </c>
      <c r="F130" s="81">
        <f>' PRIHODI I RASHODI-izvori'!G253</f>
        <v>663.61</v>
      </c>
      <c r="G130" s="81">
        <f>' PRIHODI I RASHODI-izvori'!H253</f>
        <v>663.61</v>
      </c>
      <c r="H130" s="81">
        <f>' PRIHODI I RASHODI-izvori'!I253</f>
        <v>663.61</v>
      </c>
    </row>
    <row r="131" spans="1:8" x14ac:dyDescent="0.25">
      <c r="A131" s="39"/>
      <c r="B131" s="84">
        <v>3234</v>
      </c>
      <c r="C131" s="84" t="s">
        <v>136</v>
      </c>
      <c r="D131" s="85">
        <f t="shared" ref="D131:H131" si="34">SUM(D132:D135)</f>
        <v>23343.89</v>
      </c>
      <c r="E131" s="85">
        <f t="shared" si="34"/>
        <v>19908.419999999998</v>
      </c>
      <c r="F131" s="85">
        <f t="shared" si="34"/>
        <v>26500</v>
      </c>
      <c r="G131" s="85">
        <f t="shared" si="34"/>
        <v>27300</v>
      </c>
      <c r="H131" s="85">
        <f t="shared" si="34"/>
        <v>28100</v>
      </c>
    </row>
    <row r="132" spans="1:8" x14ac:dyDescent="0.25">
      <c r="A132" s="39"/>
      <c r="B132" s="83">
        <v>32341</v>
      </c>
      <c r="C132" s="83" t="s">
        <v>445</v>
      </c>
      <c r="D132" s="81">
        <f>' PRIHODI I RASHODI-izvori'!E255</f>
        <v>5937.95</v>
      </c>
      <c r="E132" s="81">
        <f>' PRIHODI I RASHODI-izvori'!F255</f>
        <v>7500</v>
      </c>
      <c r="F132" s="81">
        <f>' PRIHODI I RASHODI-izvori'!G255</f>
        <v>6000</v>
      </c>
      <c r="G132" s="81">
        <f>' PRIHODI I RASHODI-izvori'!H255</f>
        <v>6200</v>
      </c>
      <c r="H132" s="81">
        <f>' PRIHODI I RASHODI-izvori'!I255</f>
        <v>6400</v>
      </c>
    </row>
    <row r="133" spans="1:8" x14ac:dyDescent="0.25">
      <c r="A133" s="39"/>
      <c r="B133" s="83">
        <v>32342</v>
      </c>
      <c r="C133" s="83" t="s">
        <v>446</v>
      </c>
      <c r="D133" s="81">
        <f>' PRIHODI I RASHODI-izvori'!E256</f>
        <v>15622.79</v>
      </c>
      <c r="E133" s="81">
        <f>' PRIHODI I RASHODI-izvori'!F256</f>
        <v>10500</v>
      </c>
      <c r="F133" s="81">
        <f>' PRIHODI I RASHODI-izvori'!G256</f>
        <v>18000</v>
      </c>
      <c r="G133" s="81">
        <f>' PRIHODI I RASHODI-izvori'!H256</f>
        <v>18500</v>
      </c>
      <c r="H133" s="81">
        <f>' PRIHODI I RASHODI-izvori'!I256</f>
        <v>19000</v>
      </c>
    </row>
    <row r="134" spans="1:8" x14ac:dyDescent="0.25">
      <c r="A134" s="39"/>
      <c r="B134" s="83">
        <v>32343</v>
      </c>
      <c r="C134" s="83" t="s">
        <v>447</v>
      </c>
      <c r="D134" s="81">
        <f>' PRIHODI I RASHODI-izvori'!E257</f>
        <v>1127.96</v>
      </c>
      <c r="E134" s="81">
        <f>' PRIHODI I RASHODI-izvori'!F257</f>
        <v>1500</v>
      </c>
      <c r="F134" s="81">
        <f>' PRIHODI I RASHODI-izvori'!G257</f>
        <v>1800</v>
      </c>
      <c r="G134" s="81">
        <f>' PRIHODI I RASHODI-izvori'!H257</f>
        <v>1850</v>
      </c>
      <c r="H134" s="81">
        <f>' PRIHODI I RASHODI-izvori'!I257</f>
        <v>1900</v>
      </c>
    </row>
    <row r="135" spans="1:8" x14ac:dyDescent="0.25">
      <c r="A135" s="39"/>
      <c r="B135" s="83">
        <v>32349</v>
      </c>
      <c r="C135" s="83" t="s">
        <v>448</v>
      </c>
      <c r="D135" s="81">
        <f>' PRIHODI I RASHODI-izvori'!E258</f>
        <v>655.19000000000005</v>
      </c>
      <c r="E135" s="81">
        <f>' PRIHODI I RASHODI-izvori'!F258</f>
        <v>408.41999999999825</v>
      </c>
      <c r="F135" s="81">
        <f>' PRIHODI I RASHODI-izvori'!G258</f>
        <v>700</v>
      </c>
      <c r="G135" s="81">
        <f>' PRIHODI I RASHODI-izvori'!H258</f>
        <v>750</v>
      </c>
      <c r="H135" s="81">
        <f>' PRIHODI I RASHODI-izvori'!I258</f>
        <v>800</v>
      </c>
    </row>
    <row r="136" spans="1:8" x14ac:dyDescent="0.25">
      <c r="A136" s="39"/>
      <c r="B136" s="84">
        <v>3235</v>
      </c>
      <c r="C136" s="84" t="s">
        <v>137</v>
      </c>
      <c r="D136" s="85">
        <f t="shared" ref="D136:H136" si="35">SUM(D137)</f>
        <v>0</v>
      </c>
      <c r="E136" s="85">
        <f t="shared" si="35"/>
        <v>132.72</v>
      </c>
      <c r="F136" s="85">
        <f t="shared" si="35"/>
        <v>132.72</v>
      </c>
      <c r="G136" s="85">
        <f t="shared" si="35"/>
        <v>132.72</v>
      </c>
      <c r="H136" s="85">
        <f t="shared" si="35"/>
        <v>132.72</v>
      </c>
    </row>
    <row r="137" spans="1:8" x14ac:dyDescent="0.25">
      <c r="A137" s="39"/>
      <c r="B137" s="83">
        <v>32359</v>
      </c>
      <c r="C137" s="83" t="s">
        <v>449</v>
      </c>
      <c r="D137" s="81">
        <f>' PRIHODI I RASHODI-izvori'!E260</f>
        <v>0</v>
      </c>
      <c r="E137" s="81">
        <f>' PRIHODI I RASHODI-izvori'!F260</f>
        <v>132.72</v>
      </c>
      <c r="F137" s="81">
        <f>' PRIHODI I RASHODI-izvori'!G260</f>
        <v>132.72</v>
      </c>
      <c r="G137" s="81">
        <f>' PRIHODI I RASHODI-izvori'!H260</f>
        <v>132.72</v>
      </c>
      <c r="H137" s="81">
        <f>' PRIHODI I RASHODI-izvori'!I260</f>
        <v>132.72</v>
      </c>
    </row>
    <row r="138" spans="1:8" x14ac:dyDescent="0.25">
      <c r="A138" s="39"/>
      <c r="B138" s="84">
        <v>3236</v>
      </c>
      <c r="C138" s="84" t="s">
        <v>138</v>
      </c>
      <c r="D138" s="85">
        <f t="shared" ref="D138:H138" si="36">SUM(D139)</f>
        <v>33880.61</v>
      </c>
      <c r="E138" s="85">
        <f t="shared" si="36"/>
        <v>32217.34</v>
      </c>
      <c r="F138" s="85">
        <f t="shared" si="36"/>
        <v>34654.46</v>
      </c>
      <c r="G138" s="85">
        <f t="shared" si="36"/>
        <v>35654.46</v>
      </c>
      <c r="H138" s="85">
        <f t="shared" si="36"/>
        <v>36654.46</v>
      </c>
    </row>
    <row r="139" spans="1:8" x14ac:dyDescent="0.25">
      <c r="A139" s="39"/>
      <c r="B139" s="83">
        <v>32369</v>
      </c>
      <c r="C139" s="83" t="s">
        <v>450</v>
      </c>
      <c r="D139" s="81">
        <f>' PRIHODI I RASHODI-izvori'!E262+' PRIHODI I RASHODI-izvori'!E124+' PRIHODI I RASHODI-izvori'!E39</f>
        <v>33880.61</v>
      </c>
      <c r="E139" s="81">
        <f>' PRIHODI I RASHODI-izvori'!F262+' PRIHODI I RASHODI-izvori'!F124+' PRIHODI I RASHODI-izvori'!F39</f>
        <v>32217.34</v>
      </c>
      <c r="F139" s="81">
        <f>' PRIHODI I RASHODI-izvori'!G262+' PRIHODI I RASHODI-izvori'!G124+' PRIHODI I RASHODI-izvori'!G39</f>
        <v>34654.46</v>
      </c>
      <c r="G139" s="81">
        <f>' PRIHODI I RASHODI-izvori'!H262+' PRIHODI I RASHODI-izvori'!H124+' PRIHODI I RASHODI-izvori'!H39</f>
        <v>35654.46</v>
      </c>
      <c r="H139" s="81">
        <f>' PRIHODI I RASHODI-izvori'!I262+' PRIHODI I RASHODI-izvori'!I124+' PRIHODI I RASHODI-izvori'!I39</f>
        <v>36654.46</v>
      </c>
    </row>
    <row r="140" spans="1:8" x14ac:dyDescent="0.25">
      <c r="A140" s="39"/>
      <c r="B140" s="84">
        <v>3237</v>
      </c>
      <c r="C140" s="84" t="s">
        <v>139</v>
      </c>
      <c r="D140" s="85">
        <f t="shared" ref="D140:H140" si="37">SUM(D141:D144)</f>
        <v>92306.45</v>
      </c>
      <c r="E140" s="85">
        <f t="shared" si="37"/>
        <v>116644.50000000001</v>
      </c>
      <c r="F140" s="85">
        <f t="shared" si="37"/>
        <v>98585.540000000008</v>
      </c>
      <c r="G140" s="85">
        <f t="shared" si="37"/>
        <v>100435.54000000001</v>
      </c>
      <c r="H140" s="85">
        <f t="shared" si="37"/>
        <v>102766.8</v>
      </c>
    </row>
    <row r="141" spans="1:8" x14ac:dyDescent="0.25">
      <c r="A141" s="39"/>
      <c r="B141" s="83">
        <v>32372</v>
      </c>
      <c r="C141" s="83" t="s">
        <v>451</v>
      </c>
      <c r="D141" s="81">
        <f>' PRIHODI I RASHODI-izvori'!E264+' PRIHODI I RASHODI-izvori'!E126+' PRIHODI I RASHODI-izvori'!E409</f>
        <v>67069.440000000002</v>
      </c>
      <c r="E141" s="81">
        <f>' PRIHODI I RASHODI-izvori'!F264+' PRIHODI I RASHODI-izvori'!F126+' PRIHODI I RASHODI-izvori'!F409</f>
        <v>100664.04000000001</v>
      </c>
      <c r="F141" s="81">
        <f>' PRIHODI I RASHODI-izvori'!G264+' PRIHODI I RASHODI-izvori'!G126+' PRIHODI I RASHODI-izvori'!G409</f>
        <v>78085.540000000008</v>
      </c>
      <c r="G141" s="81">
        <f>' PRIHODI I RASHODI-izvori'!H264+' PRIHODI I RASHODI-izvori'!H126+' PRIHODI I RASHODI-izvori'!H409</f>
        <v>78085.540000000008</v>
      </c>
      <c r="H141" s="81">
        <f>' PRIHODI I RASHODI-izvori'!I264+' PRIHODI I RASHODI-izvori'!I126+' PRIHODI I RASHODI-izvori'!I409</f>
        <v>78566.8</v>
      </c>
    </row>
    <row r="142" spans="1:8" x14ac:dyDescent="0.25">
      <c r="A142" s="39"/>
      <c r="B142" s="83">
        <v>32373</v>
      </c>
      <c r="C142" s="83" t="s">
        <v>452</v>
      </c>
      <c r="D142" s="81">
        <f>' PRIHODI I RASHODI-izvori'!E265</f>
        <v>18195.37</v>
      </c>
      <c r="E142" s="81">
        <f>' PRIHODI I RASHODI-izvori'!F265</f>
        <v>12000</v>
      </c>
      <c r="F142" s="81">
        <f>' PRIHODI I RASHODI-izvori'!G265</f>
        <v>15000</v>
      </c>
      <c r="G142" s="81">
        <f>' PRIHODI I RASHODI-izvori'!H265</f>
        <v>16500</v>
      </c>
      <c r="H142" s="81">
        <f>' PRIHODI I RASHODI-izvori'!I265</f>
        <v>18000</v>
      </c>
    </row>
    <row r="143" spans="1:8" x14ac:dyDescent="0.25">
      <c r="A143" s="39"/>
      <c r="B143" s="83">
        <v>32375</v>
      </c>
      <c r="C143" s="83" t="s">
        <v>578</v>
      </c>
      <c r="D143" s="81">
        <f>' PRIHODI I RASHODI-izvori'!E266</f>
        <v>1312.5</v>
      </c>
      <c r="E143" s="81">
        <f>' PRIHODI I RASHODI-izvori'!F266</f>
        <v>0</v>
      </c>
      <c r="F143" s="81">
        <f>' PRIHODI I RASHODI-izvori'!G266</f>
        <v>1000</v>
      </c>
      <c r="G143" s="81">
        <f>' PRIHODI I RASHODI-izvori'!H266</f>
        <v>1100</v>
      </c>
      <c r="H143" s="81">
        <f>' PRIHODI I RASHODI-izvori'!I266</f>
        <v>1200</v>
      </c>
    </row>
    <row r="144" spans="1:8" x14ac:dyDescent="0.25">
      <c r="A144" s="39"/>
      <c r="B144" s="83">
        <v>32379</v>
      </c>
      <c r="C144" s="83" t="s">
        <v>519</v>
      </c>
      <c r="D144" s="81">
        <f>' PRIHODI I RASHODI-izvori'!E267+' PRIHODI I RASHODI-izvori'!E41</f>
        <v>5729.14</v>
      </c>
      <c r="E144" s="81">
        <f>' PRIHODI I RASHODI-izvori'!F267+' PRIHODI I RASHODI-izvori'!F41</f>
        <v>3980.4600000000064</v>
      </c>
      <c r="F144" s="81">
        <f>' PRIHODI I RASHODI-izvori'!G267+' PRIHODI I RASHODI-izvori'!G41</f>
        <v>4500</v>
      </c>
      <c r="G144" s="81">
        <f>' PRIHODI I RASHODI-izvori'!H267+' PRIHODI I RASHODI-izvori'!H41</f>
        <v>4750</v>
      </c>
      <c r="H144" s="81">
        <f>' PRIHODI I RASHODI-izvori'!I267+' PRIHODI I RASHODI-izvori'!I41</f>
        <v>5000</v>
      </c>
    </row>
    <row r="145" spans="1:8" x14ac:dyDescent="0.25">
      <c r="A145" s="39"/>
      <c r="B145" s="84">
        <v>3238</v>
      </c>
      <c r="C145" s="84" t="s">
        <v>141</v>
      </c>
      <c r="D145" s="85">
        <f t="shared" ref="D145:H145" si="38">SUM(D146)</f>
        <v>44056.47</v>
      </c>
      <c r="E145" s="85">
        <f t="shared" si="38"/>
        <v>58581.19</v>
      </c>
      <c r="F145" s="85">
        <f t="shared" si="38"/>
        <v>43500</v>
      </c>
      <c r="G145" s="85">
        <f t="shared" si="38"/>
        <v>44000</v>
      </c>
      <c r="H145" s="85">
        <f t="shared" si="38"/>
        <v>44500</v>
      </c>
    </row>
    <row r="146" spans="1:8" x14ac:dyDescent="0.25">
      <c r="A146" s="39"/>
      <c r="B146" s="83">
        <v>32389</v>
      </c>
      <c r="C146" s="83" t="s">
        <v>453</v>
      </c>
      <c r="D146" s="81">
        <f>' PRIHODI I RASHODI-izvori'!E43+' PRIHODI I RASHODI-izvori'!E269</f>
        <v>44056.47</v>
      </c>
      <c r="E146" s="81">
        <f>' PRIHODI I RASHODI-izvori'!F43+' PRIHODI I RASHODI-izvori'!F269</f>
        <v>58581.19</v>
      </c>
      <c r="F146" s="81">
        <f>' PRIHODI I RASHODI-izvori'!G43+' PRIHODI I RASHODI-izvori'!G269</f>
        <v>43500</v>
      </c>
      <c r="G146" s="81">
        <f>' PRIHODI I RASHODI-izvori'!H43+' PRIHODI I RASHODI-izvori'!H269</f>
        <v>44000</v>
      </c>
      <c r="H146" s="81">
        <f>' PRIHODI I RASHODI-izvori'!I43+' PRIHODI I RASHODI-izvori'!I269</f>
        <v>44500</v>
      </c>
    </row>
    <row r="147" spans="1:8" x14ac:dyDescent="0.25">
      <c r="A147" s="39"/>
      <c r="B147" s="84">
        <v>3239</v>
      </c>
      <c r="C147" s="84" t="s">
        <v>143</v>
      </c>
      <c r="D147" s="85">
        <f t="shared" ref="D147:H147" si="39">SUM(D148:D150)</f>
        <v>12521.81</v>
      </c>
      <c r="E147" s="85">
        <f t="shared" si="39"/>
        <v>28504.32</v>
      </c>
      <c r="F147" s="85">
        <f t="shared" si="39"/>
        <v>21359.51</v>
      </c>
      <c r="G147" s="85">
        <f t="shared" si="39"/>
        <v>21709.51</v>
      </c>
      <c r="H147" s="85">
        <f t="shared" si="39"/>
        <v>22118.07</v>
      </c>
    </row>
    <row r="148" spans="1:8" x14ac:dyDescent="0.25">
      <c r="A148" s="39"/>
      <c r="B148" s="83">
        <v>32394</v>
      </c>
      <c r="C148" s="83" t="s">
        <v>454</v>
      </c>
      <c r="D148" s="81">
        <f>' PRIHODI I RASHODI-izvori'!E271+' PRIHODI I RASHODI-izvori'!E45</f>
        <v>2964.32</v>
      </c>
      <c r="E148" s="81">
        <f>' PRIHODI I RASHODI-izvori'!F271+' PRIHODI I RASHODI-izvori'!F45</f>
        <v>4000</v>
      </c>
      <c r="F148" s="81">
        <f>' PRIHODI I RASHODI-izvori'!G271+' PRIHODI I RASHODI-izvori'!G45</f>
        <v>3800</v>
      </c>
      <c r="G148" s="81">
        <f>' PRIHODI I RASHODI-izvori'!H271+' PRIHODI I RASHODI-izvori'!H45</f>
        <v>4100</v>
      </c>
      <c r="H148" s="81">
        <f>' PRIHODI I RASHODI-izvori'!I271+' PRIHODI I RASHODI-izvori'!I45</f>
        <v>4400</v>
      </c>
    </row>
    <row r="149" spans="1:8" x14ac:dyDescent="0.25">
      <c r="A149" s="39"/>
      <c r="B149" s="83">
        <v>32395</v>
      </c>
      <c r="C149" s="83" t="s">
        <v>455</v>
      </c>
      <c r="D149" s="81">
        <f>' PRIHODI I RASHODI-izvori'!E272</f>
        <v>5622</v>
      </c>
      <c r="E149" s="81">
        <f>' PRIHODI I RASHODI-izvori'!F272</f>
        <v>6500</v>
      </c>
      <c r="F149" s="81">
        <f>' PRIHODI I RASHODI-izvori'!G272</f>
        <v>300</v>
      </c>
      <c r="G149" s="81">
        <f>' PRIHODI I RASHODI-izvori'!H272</f>
        <v>350</v>
      </c>
      <c r="H149" s="81">
        <f>' PRIHODI I RASHODI-izvori'!I272</f>
        <v>400</v>
      </c>
    </row>
    <row r="150" spans="1:8" x14ac:dyDescent="0.25">
      <c r="A150" s="39"/>
      <c r="B150" s="83">
        <v>32399</v>
      </c>
      <c r="C150" s="83" t="s">
        <v>317</v>
      </c>
      <c r="D150" s="81">
        <f>' PRIHODI I RASHODI-izvori'!E273+' PRIHODI I RASHODI-izvori'!E129+' PRIHODI I RASHODI-izvori'!E411+' PRIHODI I RASHODI-izvori'!E46</f>
        <v>3935.4900000000002</v>
      </c>
      <c r="E150" s="81">
        <f>' PRIHODI I RASHODI-izvori'!F273+' PRIHODI I RASHODI-izvori'!F129+' PRIHODI I RASHODI-izvori'!F411+' PRIHODI I RASHODI-izvori'!F46</f>
        <v>18004.32</v>
      </c>
      <c r="F150" s="81">
        <f>' PRIHODI I RASHODI-izvori'!G273+' PRIHODI I RASHODI-izvori'!G129+' PRIHODI I RASHODI-izvori'!G411+' PRIHODI I RASHODI-izvori'!G46</f>
        <v>17259.509999999998</v>
      </c>
      <c r="G150" s="81">
        <f>' PRIHODI I RASHODI-izvori'!H273+' PRIHODI I RASHODI-izvori'!H129+' PRIHODI I RASHODI-izvori'!H411+' PRIHODI I RASHODI-izvori'!H46</f>
        <v>17259.509999999998</v>
      </c>
      <c r="H150" s="81">
        <f>' PRIHODI I RASHODI-izvori'!I273+' PRIHODI I RASHODI-izvori'!I129+' PRIHODI I RASHODI-izvori'!I411+' PRIHODI I RASHODI-izvori'!I46</f>
        <v>17318.07</v>
      </c>
    </row>
    <row r="151" spans="1:8" x14ac:dyDescent="0.25">
      <c r="A151" s="39"/>
      <c r="B151" s="84">
        <v>324</v>
      </c>
      <c r="C151" s="84" t="s">
        <v>298</v>
      </c>
      <c r="D151" s="85">
        <f t="shared" ref="D151:H151" si="40">SUM(D153)</f>
        <v>0</v>
      </c>
      <c r="E151" s="85">
        <f t="shared" si="40"/>
        <v>398.17</v>
      </c>
      <c r="F151" s="85">
        <f t="shared" si="40"/>
        <v>400</v>
      </c>
      <c r="G151" s="85">
        <f t="shared" si="40"/>
        <v>400</v>
      </c>
      <c r="H151" s="85">
        <f t="shared" si="40"/>
        <v>400</v>
      </c>
    </row>
    <row r="152" spans="1:8" x14ac:dyDescent="0.25">
      <c r="A152" s="39"/>
      <c r="B152" s="84">
        <v>3241</v>
      </c>
      <c r="C152" s="83" t="s">
        <v>299</v>
      </c>
      <c r="D152" s="85">
        <f t="shared" ref="D152:H152" si="41">D153</f>
        <v>0</v>
      </c>
      <c r="E152" s="85">
        <f t="shared" si="41"/>
        <v>398.17</v>
      </c>
      <c r="F152" s="85">
        <f t="shared" si="41"/>
        <v>400</v>
      </c>
      <c r="G152" s="85">
        <f t="shared" si="41"/>
        <v>400</v>
      </c>
      <c r="H152" s="85">
        <f t="shared" si="41"/>
        <v>400</v>
      </c>
    </row>
    <row r="153" spans="1:8" x14ac:dyDescent="0.25">
      <c r="A153" s="39"/>
      <c r="B153" s="83">
        <v>32412</v>
      </c>
      <c r="C153" s="83" t="s">
        <v>465</v>
      </c>
      <c r="D153" s="81">
        <f>' PRIHODI I RASHODI-izvori'!E276</f>
        <v>0</v>
      </c>
      <c r="E153" s="81">
        <f>' PRIHODI I RASHODI-izvori'!F276</f>
        <v>398.17</v>
      </c>
      <c r="F153" s="81">
        <f>' PRIHODI I RASHODI-izvori'!G276</f>
        <v>400</v>
      </c>
      <c r="G153" s="81">
        <f>' PRIHODI I RASHODI-izvori'!H276</f>
        <v>400</v>
      </c>
      <c r="H153" s="81">
        <f>' PRIHODI I RASHODI-izvori'!I276</f>
        <v>400</v>
      </c>
    </row>
    <row r="154" spans="1:8" s="90" customFormat="1" x14ac:dyDescent="0.25">
      <c r="A154" s="39"/>
      <c r="B154" s="84">
        <v>325</v>
      </c>
      <c r="C154" s="84" t="s">
        <v>128</v>
      </c>
      <c r="D154" s="85">
        <f>D155</f>
        <v>0</v>
      </c>
      <c r="E154" s="85">
        <f t="shared" ref="E154:H154" si="42">E155</f>
        <v>245954.21</v>
      </c>
      <c r="F154" s="85">
        <f t="shared" si="42"/>
        <v>299954.21000000002</v>
      </c>
      <c r="G154" s="85">
        <f t="shared" si="42"/>
        <v>327954.21000000002</v>
      </c>
      <c r="H154" s="85">
        <f t="shared" si="42"/>
        <v>355954.21</v>
      </c>
    </row>
    <row r="155" spans="1:8" s="90" customFormat="1" x14ac:dyDescent="0.25">
      <c r="A155" s="39"/>
      <c r="B155" s="84">
        <v>3251</v>
      </c>
      <c r="C155" s="84" t="s">
        <v>143</v>
      </c>
      <c r="D155" s="85">
        <f>D156+D157</f>
        <v>0</v>
      </c>
      <c r="E155" s="85">
        <f t="shared" ref="E155:H155" si="43">E156+E157</f>
        <v>245954.21</v>
      </c>
      <c r="F155" s="85">
        <f t="shared" si="43"/>
        <v>299954.21000000002</v>
      </c>
      <c r="G155" s="85">
        <f t="shared" si="43"/>
        <v>327954.21000000002</v>
      </c>
      <c r="H155" s="85">
        <f t="shared" si="43"/>
        <v>355954.21</v>
      </c>
    </row>
    <row r="156" spans="1:8" x14ac:dyDescent="0.25">
      <c r="A156" s="39"/>
      <c r="B156" s="83">
        <v>32511</v>
      </c>
      <c r="C156" s="83" t="s">
        <v>598</v>
      </c>
      <c r="D156" s="81">
        <f>' PRIHODI I RASHODI-izvori'!E49+' PRIHODI I RASHODI-izvori'!E132+' PRIHODI I RASHODI-izvori'!E279</f>
        <v>0</v>
      </c>
      <c r="E156" s="81">
        <f>' PRIHODI I RASHODI-izvori'!F49+' PRIHODI I RASHODI-izvori'!F132+' PRIHODI I RASHODI-izvori'!F279</f>
        <v>36954.21</v>
      </c>
      <c r="F156" s="81">
        <f>' PRIHODI I RASHODI-izvori'!G49+' PRIHODI I RASHODI-izvori'!G132+' PRIHODI I RASHODI-izvori'!G279</f>
        <v>27954.21</v>
      </c>
      <c r="G156" s="81">
        <f>' PRIHODI I RASHODI-izvori'!H49+' PRIHODI I RASHODI-izvori'!H132+' PRIHODI I RASHODI-izvori'!H279</f>
        <v>30954.21</v>
      </c>
      <c r="H156" s="81">
        <f>' PRIHODI I RASHODI-izvori'!I49+' PRIHODI I RASHODI-izvori'!I132+' PRIHODI I RASHODI-izvori'!I279</f>
        <v>33954.21</v>
      </c>
    </row>
    <row r="157" spans="1:8" x14ac:dyDescent="0.25">
      <c r="A157" s="39"/>
      <c r="B157" s="83">
        <v>32513</v>
      </c>
      <c r="C157" s="83" t="s">
        <v>599</v>
      </c>
      <c r="D157" s="81">
        <f>' PRIHODI I RASHODI-izvori'!E50+' PRIHODI I RASHODI-izvori'!E133+' PRIHODI I RASHODI-izvori'!E280</f>
        <v>0</v>
      </c>
      <c r="E157" s="81">
        <f>' PRIHODI I RASHODI-izvori'!F50+' PRIHODI I RASHODI-izvori'!F133+' PRIHODI I RASHODI-izvori'!F280</f>
        <v>209000</v>
      </c>
      <c r="F157" s="81">
        <f>' PRIHODI I RASHODI-izvori'!G50+' PRIHODI I RASHODI-izvori'!G133+' PRIHODI I RASHODI-izvori'!G280</f>
        <v>272000</v>
      </c>
      <c r="G157" s="81">
        <f>' PRIHODI I RASHODI-izvori'!H50+' PRIHODI I RASHODI-izvori'!H133+' PRIHODI I RASHODI-izvori'!H280</f>
        <v>297000</v>
      </c>
      <c r="H157" s="81">
        <f>' PRIHODI I RASHODI-izvori'!I50+' PRIHODI I RASHODI-izvori'!I133+' PRIHODI I RASHODI-izvori'!I280</f>
        <v>322000</v>
      </c>
    </row>
    <row r="158" spans="1:8" x14ac:dyDescent="0.25">
      <c r="A158" s="39"/>
      <c r="B158" s="84">
        <v>329</v>
      </c>
      <c r="C158" s="84" t="s">
        <v>145</v>
      </c>
      <c r="D158" s="85">
        <f t="shared" ref="D158:H158" si="44">D159+D161+D165+D167+D169+D173+D175</f>
        <v>47837.979999999996</v>
      </c>
      <c r="E158" s="85">
        <f t="shared" si="44"/>
        <v>55430.099999999991</v>
      </c>
      <c r="F158" s="85">
        <f t="shared" si="44"/>
        <v>51454.46</v>
      </c>
      <c r="G158" s="85">
        <f t="shared" si="44"/>
        <v>52154.46</v>
      </c>
      <c r="H158" s="85">
        <f t="shared" si="44"/>
        <v>53854.46</v>
      </c>
    </row>
    <row r="159" spans="1:8" x14ac:dyDescent="0.25">
      <c r="A159" s="39"/>
      <c r="B159" s="84">
        <v>3291</v>
      </c>
      <c r="C159" s="84" t="s">
        <v>300</v>
      </c>
      <c r="D159" s="85">
        <f t="shared" ref="D159:H159" si="45">SUM(D160)</f>
        <v>8798.64</v>
      </c>
      <c r="E159" s="85">
        <f t="shared" si="45"/>
        <v>11613.25</v>
      </c>
      <c r="F159" s="85">
        <f t="shared" si="45"/>
        <v>9500</v>
      </c>
      <c r="G159" s="85">
        <f t="shared" si="45"/>
        <v>9750</v>
      </c>
      <c r="H159" s="85">
        <f t="shared" si="45"/>
        <v>10000</v>
      </c>
    </row>
    <row r="160" spans="1:8" x14ac:dyDescent="0.25">
      <c r="A160" s="39"/>
      <c r="B160" s="83">
        <v>32911</v>
      </c>
      <c r="C160" s="83" t="s">
        <v>300</v>
      </c>
      <c r="D160" s="81">
        <f>' PRIHODI I RASHODI-izvori'!E283</f>
        <v>8798.64</v>
      </c>
      <c r="E160" s="81">
        <f>' PRIHODI I RASHODI-izvori'!F283</f>
        <v>11613.25</v>
      </c>
      <c r="F160" s="81">
        <f>' PRIHODI I RASHODI-izvori'!G283</f>
        <v>9500</v>
      </c>
      <c r="G160" s="81">
        <f>' PRIHODI I RASHODI-izvori'!H283</f>
        <v>9750</v>
      </c>
      <c r="H160" s="81">
        <f>' PRIHODI I RASHODI-izvori'!I283</f>
        <v>10000</v>
      </c>
    </row>
    <row r="161" spans="1:8" x14ac:dyDescent="0.25">
      <c r="A161" s="39"/>
      <c r="B161" s="84">
        <v>3292</v>
      </c>
      <c r="C161" s="84" t="s">
        <v>457</v>
      </c>
      <c r="D161" s="85">
        <f t="shared" ref="D161:H161" si="46">SUM(D162:D164)</f>
        <v>25454.42</v>
      </c>
      <c r="E161" s="85">
        <f t="shared" si="46"/>
        <v>23890.11</v>
      </c>
      <c r="F161" s="85">
        <f t="shared" si="46"/>
        <v>23154.46</v>
      </c>
      <c r="G161" s="85">
        <f t="shared" si="46"/>
        <v>23854.46</v>
      </c>
      <c r="H161" s="85">
        <f t="shared" si="46"/>
        <v>24554.46</v>
      </c>
    </row>
    <row r="162" spans="1:8" x14ac:dyDescent="0.25">
      <c r="A162" s="39"/>
      <c r="B162" s="83">
        <v>32921</v>
      </c>
      <c r="C162" s="83" t="s">
        <v>459</v>
      </c>
      <c r="D162" s="81">
        <f>' PRIHODI I RASHODI-izvori'!E285+' PRIHODI I RASHODI-izvori'!E137+' PRIHODI I RASHODI-izvori'!E482</f>
        <v>14304.39</v>
      </c>
      <c r="E162" s="81">
        <f>' PRIHODI I RASHODI-izvori'!F285+' PRIHODI I RASHODI-izvori'!F137+' PRIHODI I RASHODI-izvori'!F482</f>
        <v>12904.46</v>
      </c>
      <c r="F162" s="81">
        <f>' PRIHODI I RASHODI-izvori'!G285+' PRIHODI I RASHODI-izvori'!G137+' PRIHODI I RASHODI-izvori'!G482</f>
        <v>12154.46</v>
      </c>
      <c r="G162" s="81">
        <f>' PRIHODI I RASHODI-izvori'!H285+' PRIHODI I RASHODI-izvori'!H137+' PRIHODI I RASHODI-izvori'!H482</f>
        <v>12604.46</v>
      </c>
      <c r="H162" s="81">
        <f>' PRIHODI I RASHODI-izvori'!I285+' PRIHODI I RASHODI-izvori'!I137+' PRIHODI I RASHODI-izvori'!I482</f>
        <v>13054.46</v>
      </c>
    </row>
    <row r="163" spans="1:8" x14ac:dyDescent="0.25">
      <c r="A163" s="39"/>
      <c r="B163" s="83">
        <v>32922</v>
      </c>
      <c r="C163" s="83" t="s">
        <v>458</v>
      </c>
      <c r="D163" s="81">
        <f>' PRIHODI I RASHODI-izvori'!E286</f>
        <v>2766.74</v>
      </c>
      <c r="E163" s="81">
        <f>' PRIHODI I RASHODI-izvori'!F286</f>
        <v>2100</v>
      </c>
      <c r="F163" s="81">
        <f>' PRIHODI I RASHODI-izvori'!G286</f>
        <v>2800</v>
      </c>
      <c r="G163" s="81">
        <f>' PRIHODI I RASHODI-izvori'!H286</f>
        <v>2900</v>
      </c>
      <c r="H163" s="81">
        <f>' PRIHODI I RASHODI-izvori'!I286</f>
        <v>3000</v>
      </c>
    </row>
    <row r="164" spans="1:8" x14ac:dyDescent="0.25">
      <c r="A164" s="39"/>
      <c r="B164" s="83">
        <v>32923</v>
      </c>
      <c r="C164" s="83" t="s">
        <v>456</v>
      </c>
      <c r="D164" s="81">
        <f>' PRIHODI I RASHODI-izvori'!E287+' PRIHODI I RASHODI-izvori'!E53</f>
        <v>8383.2899999999991</v>
      </c>
      <c r="E164" s="81">
        <f>' PRIHODI I RASHODI-izvori'!F287+' PRIHODI I RASHODI-izvori'!F53</f>
        <v>8885.6500000000015</v>
      </c>
      <c r="F164" s="81">
        <f>' PRIHODI I RASHODI-izvori'!G287+' PRIHODI I RASHODI-izvori'!G53</f>
        <v>8200</v>
      </c>
      <c r="G164" s="81">
        <f>' PRIHODI I RASHODI-izvori'!H287+' PRIHODI I RASHODI-izvori'!H53</f>
        <v>8350</v>
      </c>
      <c r="H164" s="81">
        <f>' PRIHODI I RASHODI-izvori'!I287+' PRIHODI I RASHODI-izvori'!I53</f>
        <v>8500</v>
      </c>
    </row>
    <row r="165" spans="1:8" x14ac:dyDescent="0.25">
      <c r="A165" s="39"/>
      <c r="B165" s="84">
        <v>3293</v>
      </c>
      <c r="C165" s="84" t="s">
        <v>149</v>
      </c>
      <c r="D165" s="85">
        <f t="shared" ref="D165:H165" si="47">SUM(D166)</f>
        <v>4464.99</v>
      </c>
      <c r="E165" s="85">
        <f t="shared" si="47"/>
        <v>4318.07</v>
      </c>
      <c r="F165" s="85">
        <f t="shared" si="47"/>
        <v>4350</v>
      </c>
      <c r="G165" s="85">
        <f t="shared" si="47"/>
        <v>3500</v>
      </c>
      <c r="H165" s="85">
        <f t="shared" si="47"/>
        <v>3650</v>
      </c>
    </row>
    <row r="166" spans="1:8" x14ac:dyDescent="0.25">
      <c r="A166" s="39"/>
      <c r="B166" s="83">
        <v>32931</v>
      </c>
      <c r="C166" s="83" t="s">
        <v>149</v>
      </c>
      <c r="D166" s="81">
        <f>' PRIHODI I RASHODI-izvori'!E289+' PRIHODI I RASHODI-izvori'!E139+' PRIHODI I RASHODI-izvori'!E414+' PRIHODI I RASHODI-izvori'!E55</f>
        <v>4464.99</v>
      </c>
      <c r="E166" s="81">
        <f>' PRIHODI I RASHODI-izvori'!F289+' PRIHODI I RASHODI-izvori'!F139+' PRIHODI I RASHODI-izvori'!F414+' PRIHODI I RASHODI-izvori'!F55</f>
        <v>4318.07</v>
      </c>
      <c r="F166" s="81">
        <f>' PRIHODI I RASHODI-izvori'!G289+' PRIHODI I RASHODI-izvori'!G139+' PRIHODI I RASHODI-izvori'!G414+' PRIHODI I RASHODI-izvori'!G55</f>
        <v>4350</v>
      </c>
      <c r="G166" s="81">
        <f>' PRIHODI I RASHODI-izvori'!H289+' PRIHODI I RASHODI-izvori'!H139+' PRIHODI I RASHODI-izvori'!H414+' PRIHODI I RASHODI-izvori'!H55</f>
        <v>3500</v>
      </c>
      <c r="H166" s="81">
        <f>' PRIHODI I RASHODI-izvori'!I289+' PRIHODI I RASHODI-izvori'!I139+' PRIHODI I RASHODI-izvori'!I414+' PRIHODI I RASHODI-izvori'!I55</f>
        <v>3650</v>
      </c>
    </row>
    <row r="167" spans="1:8" x14ac:dyDescent="0.25">
      <c r="A167" s="39"/>
      <c r="B167" s="84">
        <v>3294</v>
      </c>
      <c r="C167" s="84" t="s">
        <v>150</v>
      </c>
      <c r="D167" s="85">
        <f t="shared" ref="D167:H167" si="48">SUM(D168)</f>
        <v>2587.89</v>
      </c>
      <c r="E167" s="85">
        <f t="shared" si="48"/>
        <v>1990.84</v>
      </c>
      <c r="F167" s="85">
        <f t="shared" si="48"/>
        <v>2750</v>
      </c>
      <c r="G167" s="85">
        <f t="shared" si="48"/>
        <v>2850</v>
      </c>
      <c r="H167" s="85">
        <f t="shared" si="48"/>
        <v>2950</v>
      </c>
    </row>
    <row r="168" spans="1:8" x14ac:dyDescent="0.25">
      <c r="A168" s="39"/>
      <c r="B168" s="83">
        <v>32941</v>
      </c>
      <c r="C168" s="83" t="s">
        <v>460</v>
      </c>
      <c r="D168" s="81">
        <f>' PRIHODI I RASHODI-izvori'!E291</f>
        <v>2587.89</v>
      </c>
      <c r="E168" s="81">
        <f>' PRIHODI I RASHODI-izvori'!F291</f>
        <v>1990.84</v>
      </c>
      <c r="F168" s="81">
        <f>' PRIHODI I RASHODI-izvori'!G291</f>
        <v>2750</v>
      </c>
      <c r="G168" s="81">
        <f>' PRIHODI I RASHODI-izvori'!H291</f>
        <v>2850</v>
      </c>
      <c r="H168" s="81">
        <f>' PRIHODI I RASHODI-izvori'!I291</f>
        <v>2950</v>
      </c>
    </row>
    <row r="169" spans="1:8" x14ac:dyDescent="0.25">
      <c r="A169" s="39"/>
      <c r="B169" s="84">
        <v>3295</v>
      </c>
      <c r="C169" s="84" t="s">
        <v>151</v>
      </c>
      <c r="D169" s="85">
        <f t="shared" ref="D169:H169" si="49">SUM(D170:D172)</f>
        <v>292.14</v>
      </c>
      <c r="E169" s="85">
        <f t="shared" si="49"/>
        <v>2654.46</v>
      </c>
      <c r="F169" s="85">
        <f t="shared" si="49"/>
        <v>2000</v>
      </c>
      <c r="G169" s="85">
        <f t="shared" si="49"/>
        <v>2200</v>
      </c>
      <c r="H169" s="85">
        <f t="shared" si="49"/>
        <v>2400</v>
      </c>
    </row>
    <row r="170" spans="1:8" x14ac:dyDescent="0.25">
      <c r="A170" s="39"/>
      <c r="B170" s="83">
        <v>32952</v>
      </c>
      <c r="C170" s="83" t="s">
        <v>462</v>
      </c>
      <c r="D170" s="81">
        <f>' PRIHODI I RASHODI-izvori'!E293</f>
        <v>262.14</v>
      </c>
      <c r="E170" s="81">
        <f>' PRIHODI I RASHODI-izvori'!F293</f>
        <v>800</v>
      </c>
      <c r="F170" s="81">
        <f>' PRIHODI I RASHODI-izvori'!G293</f>
        <v>800</v>
      </c>
      <c r="G170" s="81">
        <f>' PRIHODI I RASHODI-izvori'!H293</f>
        <v>800</v>
      </c>
      <c r="H170" s="81">
        <f>' PRIHODI I RASHODI-izvori'!I293</f>
        <v>800</v>
      </c>
    </row>
    <row r="171" spans="1:8" x14ac:dyDescent="0.25">
      <c r="A171" s="39"/>
      <c r="B171" s="83">
        <v>32953</v>
      </c>
      <c r="C171" s="83" t="s">
        <v>463</v>
      </c>
      <c r="D171" s="81">
        <f>' PRIHODI I RASHODI-izvori'!E294</f>
        <v>30</v>
      </c>
      <c r="E171" s="81">
        <f>' PRIHODI I RASHODI-izvori'!F294</f>
        <v>1450</v>
      </c>
      <c r="F171" s="81">
        <f>' PRIHODI I RASHODI-izvori'!G294</f>
        <v>750</v>
      </c>
      <c r="G171" s="81">
        <f>' PRIHODI I RASHODI-izvori'!H294</f>
        <v>900</v>
      </c>
      <c r="H171" s="81">
        <f>' PRIHODI I RASHODI-izvori'!I294</f>
        <v>1050</v>
      </c>
    </row>
    <row r="172" spans="1:8" x14ac:dyDescent="0.25">
      <c r="A172" s="39"/>
      <c r="B172" s="83">
        <v>32959</v>
      </c>
      <c r="C172" s="83" t="s">
        <v>461</v>
      </c>
      <c r="D172" s="81">
        <f>' PRIHODI I RASHODI-izvori'!E295</f>
        <v>0</v>
      </c>
      <c r="E172" s="81">
        <f>' PRIHODI I RASHODI-izvori'!F295</f>
        <v>404.46000000000004</v>
      </c>
      <c r="F172" s="81">
        <f>' PRIHODI I RASHODI-izvori'!G295</f>
        <v>450</v>
      </c>
      <c r="G172" s="81">
        <f>' PRIHODI I RASHODI-izvori'!H295</f>
        <v>500</v>
      </c>
      <c r="H172" s="81">
        <f>' PRIHODI I RASHODI-izvori'!I295</f>
        <v>550</v>
      </c>
    </row>
    <row r="173" spans="1:8" x14ac:dyDescent="0.25">
      <c r="A173" s="39"/>
      <c r="B173" s="84">
        <v>3296</v>
      </c>
      <c r="C173" s="84" t="s">
        <v>152</v>
      </c>
      <c r="D173" s="85">
        <f t="shared" ref="D173:H173" si="50">SUM(D174)</f>
        <v>705</v>
      </c>
      <c r="E173" s="85">
        <f t="shared" si="50"/>
        <v>4990.84</v>
      </c>
      <c r="F173" s="85">
        <f t="shared" si="50"/>
        <v>4000</v>
      </c>
      <c r="G173" s="85">
        <f t="shared" si="50"/>
        <v>4100</v>
      </c>
      <c r="H173" s="85">
        <f t="shared" si="50"/>
        <v>4200</v>
      </c>
    </row>
    <row r="174" spans="1:8" x14ac:dyDescent="0.25">
      <c r="A174" s="39"/>
      <c r="B174" s="83">
        <v>32961</v>
      </c>
      <c r="C174" s="83" t="s">
        <v>152</v>
      </c>
      <c r="D174" s="81">
        <f>' PRIHODI I RASHODI-izvori'!E297</f>
        <v>705</v>
      </c>
      <c r="E174" s="81">
        <f>' PRIHODI I RASHODI-izvori'!F297</f>
        <v>4990.84</v>
      </c>
      <c r="F174" s="81">
        <f>' PRIHODI I RASHODI-izvori'!G297</f>
        <v>4000</v>
      </c>
      <c r="G174" s="81">
        <f>' PRIHODI I RASHODI-izvori'!H297</f>
        <v>4100</v>
      </c>
      <c r="H174" s="81">
        <f>' PRIHODI I RASHODI-izvori'!I297</f>
        <v>4200</v>
      </c>
    </row>
    <row r="175" spans="1:8" x14ac:dyDescent="0.25">
      <c r="A175" s="39"/>
      <c r="B175" s="84">
        <v>3299</v>
      </c>
      <c r="C175" s="84" t="s">
        <v>145</v>
      </c>
      <c r="D175" s="85">
        <f t="shared" ref="D175:H175" si="51">SUM(D176:D177)</f>
        <v>5534.9000000000005</v>
      </c>
      <c r="E175" s="85">
        <f t="shared" si="51"/>
        <v>5972.53</v>
      </c>
      <c r="F175" s="85">
        <f t="shared" si="51"/>
        <v>5700</v>
      </c>
      <c r="G175" s="85">
        <f t="shared" si="51"/>
        <v>5900</v>
      </c>
      <c r="H175" s="85">
        <f t="shared" si="51"/>
        <v>6100</v>
      </c>
    </row>
    <row r="176" spans="1:8" x14ac:dyDescent="0.25">
      <c r="A176" s="39"/>
      <c r="B176" s="83">
        <v>32991</v>
      </c>
      <c r="C176" s="83" t="s">
        <v>464</v>
      </c>
      <c r="D176" s="81">
        <f>' PRIHODI I RASHODI-izvori'!E299</f>
        <v>50</v>
      </c>
      <c r="E176" s="81">
        <f>' PRIHODI I RASHODI-izvori'!F299</f>
        <v>200</v>
      </c>
      <c r="F176" s="81">
        <f>' PRIHODI I RASHODI-izvori'!G299</f>
        <v>200</v>
      </c>
      <c r="G176" s="81">
        <f>' PRIHODI I RASHODI-izvori'!H299</f>
        <v>200</v>
      </c>
      <c r="H176" s="81">
        <f>' PRIHODI I RASHODI-izvori'!I299</f>
        <v>200</v>
      </c>
    </row>
    <row r="177" spans="1:8" x14ac:dyDescent="0.25">
      <c r="A177" s="39"/>
      <c r="B177" s="83">
        <v>32999</v>
      </c>
      <c r="C177" s="83" t="s">
        <v>145</v>
      </c>
      <c r="D177" s="81">
        <f>' PRIHODI I RASHODI-izvori'!E300+' PRIHODI I RASHODI-izvori'!E57</f>
        <v>5484.9000000000005</v>
      </c>
      <c r="E177" s="81">
        <f>' PRIHODI I RASHODI-izvori'!F300+' PRIHODI I RASHODI-izvori'!F57</f>
        <v>5772.53</v>
      </c>
      <c r="F177" s="81">
        <f>' PRIHODI I RASHODI-izvori'!G300+' PRIHODI I RASHODI-izvori'!G57</f>
        <v>5500</v>
      </c>
      <c r="G177" s="81">
        <f>' PRIHODI I RASHODI-izvori'!H300+' PRIHODI I RASHODI-izvori'!H57</f>
        <v>5700</v>
      </c>
      <c r="H177" s="81">
        <f>' PRIHODI I RASHODI-izvori'!I300+' PRIHODI I RASHODI-izvori'!I57</f>
        <v>5900</v>
      </c>
    </row>
    <row r="178" spans="1:8" x14ac:dyDescent="0.25">
      <c r="A178" s="39"/>
      <c r="B178" s="99">
        <v>34</v>
      </c>
      <c r="C178" s="99" t="s">
        <v>301</v>
      </c>
      <c r="D178" s="100">
        <f t="shared" ref="D178:H178" si="52">D179</f>
        <v>5895.57</v>
      </c>
      <c r="E178" s="100">
        <f t="shared" si="52"/>
        <v>9972.52</v>
      </c>
      <c r="F178" s="100">
        <f t="shared" si="52"/>
        <v>7475</v>
      </c>
      <c r="G178" s="100">
        <f t="shared" si="52"/>
        <v>7770</v>
      </c>
      <c r="H178" s="100">
        <f t="shared" si="52"/>
        <v>8065</v>
      </c>
    </row>
    <row r="179" spans="1:8" x14ac:dyDescent="0.25">
      <c r="A179" s="39"/>
      <c r="B179" s="84">
        <v>343</v>
      </c>
      <c r="C179" s="84" t="s">
        <v>155</v>
      </c>
      <c r="D179" s="85">
        <f>D180+D182+D183+D188</f>
        <v>5895.57</v>
      </c>
      <c r="E179" s="85">
        <f t="shared" ref="E179:H179" si="53">E180+E182+E183+E188</f>
        <v>9972.52</v>
      </c>
      <c r="F179" s="85">
        <f t="shared" si="53"/>
        <v>7475</v>
      </c>
      <c r="G179" s="85">
        <f t="shared" si="53"/>
        <v>7770</v>
      </c>
      <c r="H179" s="85">
        <f t="shared" si="53"/>
        <v>8065</v>
      </c>
    </row>
    <row r="180" spans="1:8" x14ac:dyDescent="0.25">
      <c r="A180" s="39"/>
      <c r="B180" s="84">
        <v>3431</v>
      </c>
      <c r="C180" s="84" t="s">
        <v>302</v>
      </c>
      <c r="D180" s="85">
        <f t="shared" ref="D180:H180" si="54">SUM(D181)</f>
        <v>4177.24</v>
      </c>
      <c r="E180" s="85">
        <f t="shared" si="54"/>
        <v>5308.91</v>
      </c>
      <c r="F180" s="85">
        <f t="shared" si="54"/>
        <v>6000</v>
      </c>
      <c r="G180" s="85">
        <f t="shared" si="54"/>
        <v>6250</v>
      </c>
      <c r="H180" s="85">
        <f t="shared" si="54"/>
        <v>6500</v>
      </c>
    </row>
    <row r="181" spans="1:8" x14ac:dyDescent="0.25">
      <c r="A181" s="39"/>
      <c r="B181" s="83">
        <v>34312</v>
      </c>
      <c r="C181" s="83" t="s">
        <v>466</v>
      </c>
      <c r="D181" s="81">
        <f>' PRIHODI I RASHODI-izvori'!E304</f>
        <v>4177.24</v>
      </c>
      <c r="E181" s="81">
        <f>' PRIHODI I RASHODI-izvori'!F304</f>
        <v>5308.91</v>
      </c>
      <c r="F181" s="81">
        <f>' PRIHODI I RASHODI-izvori'!G304</f>
        <v>6000</v>
      </c>
      <c r="G181" s="81">
        <f>' PRIHODI I RASHODI-izvori'!H304</f>
        <v>6250</v>
      </c>
      <c r="H181" s="81">
        <f>' PRIHODI I RASHODI-izvori'!I304</f>
        <v>6500</v>
      </c>
    </row>
    <row r="182" spans="1:8" x14ac:dyDescent="0.25">
      <c r="A182" s="39"/>
      <c r="B182" s="84">
        <v>3432</v>
      </c>
      <c r="C182" s="84" t="s">
        <v>206</v>
      </c>
      <c r="D182" s="81"/>
      <c r="E182" s="81"/>
      <c r="F182" s="81"/>
      <c r="G182" s="81"/>
      <c r="H182" s="81"/>
    </row>
    <row r="183" spans="1:8" x14ac:dyDescent="0.25">
      <c r="A183" s="39"/>
      <c r="B183" s="84">
        <v>3433</v>
      </c>
      <c r="C183" s="84" t="s">
        <v>158</v>
      </c>
      <c r="D183" s="85">
        <f t="shared" ref="D183" si="55">SUM(D184:D187)</f>
        <v>1375.53</v>
      </c>
      <c r="E183" s="85">
        <f t="shared" ref="E183:H183" si="56">SUM(E184:E187)</f>
        <v>4663.6099999999997</v>
      </c>
      <c r="F183" s="85">
        <f t="shared" si="56"/>
        <v>1475</v>
      </c>
      <c r="G183" s="85">
        <f t="shared" si="56"/>
        <v>1520</v>
      </c>
      <c r="H183" s="85">
        <f t="shared" si="56"/>
        <v>1565</v>
      </c>
    </row>
    <row r="184" spans="1:8" x14ac:dyDescent="0.25">
      <c r="A184" s="39"/>
      <c r="B184" s="83">
        <v>34331</v>
      </c>
      <c r="C184" s="83" t="s">
        <v>467</v>
      </c>
      <c r="D184" s="81">
        <f>' PRIHODI I RASHODI-izvori'!E306</f>
        <v>11.9</v>
      </c>
      <c r="E184" s="81">
        <f>' PRIHODI I RASHODI-izvori'!F306</f>
        <v>100</v>
      </c>
      <c r="F184" s="81">
        <f>' PRIHODI I RASHODI-izvori'!G306</f>
        <v>25</v>
      </c>
      <c r="G184" s="81">
        <f>' PRIHODI I RASHODI-izvori'!H306</f>
        <v>30</v>
      </c>
      <c r="H184" s="81">
        <f>' PRIHODI I RASHODI-izvori'!I306</f>
        <v>35</v>
      </c>
    </row>
    <row r="185" spans="1:8" x14ac:dyDescent="0.25">
      <c r="A185" s="39"/>
      <c r="B185" s="83">
        <v>34332</v>
      </c>
      <c r="C185" s="83" t="s">
        <v>468</v>
      </c>
      <c r="D185" s="81">
        <f>' PRIHODI I RASHODI-izvori'!E307</f>
        <v>315.98</v>
      </c>
      <c r="E185" s="81">
        <f>' PRIHODI I RASHODI-izvori'!F307</f>
        <v>550</v>
      </c>
      <c r="F185" s="81">
        <f>' PRIHODI I RASHODI-izvori'!G307</f>
        <v>350</v>
      </c>
      <c r="G185" s="81">
        <f>' PRIHODI I RASHODI-izvori'!H307</f>
        <v>350</v>
      </c>
      <c r="H185" s="81">
        <f>' PRIHODI I RASHODI-izvori'!I307</f>
        <v>350</v>
      </c>
    </row>
    <row r="186" spans="1:8" x14ac:dyDescent="0.25">
      <c r="A186" s="39"/>
      <c r="B186" s="83">
        <v>34333</v>
      </c>
      <c r="C186" s="83" t="s">
        <v>469</v>
      </c>
      <c r="D186" s="81">
        <f>' PRIHODI I RASHODI-izvori'!E308</f>
        <v>486.7</v>
      </c>
      <c r="E186" s="81">
        <f>' PRIHODI I RASHODI-izvori'!F308</f>
        <v>75</v>
      </c>
      <c r="F186" s="81">
        <f>' PRIHODI I RASHODI-izvori'!G308</f>
        <v>500</v>
      </c>
      <c r="G186" s="81">
        <f>' PRIHODI I RASHODI-izvori'!H308</f>
        <v>515</v>
      </c>
      <c r="H186" s="81">
        <f>' PRIHODI I RASHODI-izvori'!I308</f>
        <v>530</v>
      </c>
    </row>
    <row r="187" spans="1:8" x14ac:dyDescent="0.25">
      <c r="A187" s="39"/>
      <c r="B187" s="83">
        <v>34339</v>
      </c>
      <c r="C187" s="83" t="s">
        <v>470</v>
      </c>
      <c r="D187" s="81">
        <f>' PRIHODI I RASHODI-izvori'!E309</f>
        <v>560.95000000000005</v>
      </c>
      <c r="E187" s="81">
        <f>' PRIHODI I RASHODI-izvori'!F309</f>
        <v>3938.6099999999997</v>
      </c>
      <c r="F187" s="81">
        <f>' PRIHODI I RASHODI-izvori'!G309</f>
        <v>600</v>
      </c>
      <c r="G187" s="81">
        <f>' PRIHODI I RASHODI-izvori'!H309</f>
        <v>625</v>
      </c>
      <c r="H187" s="81">
        <f>' PRIHODI I RASHODI-izvori'!I309</f>
        <v>650</v>
      </c>
    </row>
    <row r="188" spans="1:8" x14ac:dyDescent="0.25">
      <c r="A188" s="39"/>
      <c r="B188" s="84">
        <v>3434</v>
      </c>
      <c r="C188" s="84" t="s">
        <v>303</v>
      </c>
      <c r="D188" s="85">
        <f>D189</f>
        <v>342.8</v>
      </c>
      <c r="E188" s="85">
        <f t="shared" ref="E188:H188" si="57">E189</f>
        <v>0</v>
      </c>
      <c r="F188" s="85">
        <f t="shared" si="57"/>
        <v>0</v>
      </c>
      <c r="G188" s="85">
        <f t="shared" si="57"/>
        <v>0</v>
      </c>
      <c r="H188" s="85">
        <f t="shared" si="57"/>
        <v>0</v>
      </c>
    </row>
    <row r="189" spans="1:8" x14ac:dyDescent="0.25">
      <c r="A189" s="39"/>
      <c r="B189" s="83">
        <v>34349</v>
      </c>
      <c r="C189" s="83" t="s">
        <v>303</v>
      </c>
      <c r="D189" s="81">
        <f>' PRIHODI I RASHODI-izvori'!E311</f>
        <v>342.8</v>
      </c>
      <c r="E189" s="81">
        <f>' PRIHODI I RASHODI-izvori'!F311</f>
        <v>0</v>
      </c>
      <c r="F189" s="81">
        <f>' PRIHODI I RASHODI-izvori'!G311</f>
        <v>0</v>
      </c>
      <c r="G189" s="81">
        <f>' PRIHODI I RASHODI-izvori'!H311</f>
        <v>0</v>
      </c>
      <c r="H189" s="81">
        <f>' PRIHODI I RASHODI-izvori'!I311</f>
        <v>0</v>
      </c>
    </row>
    <row r="190" spans="1:8" x14ac:dyDescent="0.25">
      <c r="A190" s="39"/>
      <c r="B190" s="99">
        <v>36</v>
      </c>
      <c r="C190" s="99" t="s">
        <v>304</v>
      </c>
      <c r="D190" s="100">
        <f t="shared" ref="D190:H190" si="58">SUM(D191)</f>
        <v>0</v>
      </c>
      <c r="E190" s="100">
        <f t="shared" si="58"/>
        <v>0</v>
      </c>
      <c r="F190" s="100">
        <f t="shared" si="58"/>
        <v>0</v>
      </c>
      <c r="G190" s="100">
        <f t="shared" si="58"/>
        <v>0</v>
      </c>
      <c r="H190" s="100">
        <f t="shared" si="58"/>
        <v>0</v>
      </c>
    </row>
    <row r="191" spans="1:8" x14ac:dyDescent="0.25">
      <c r="A191" s="39"/>
      <c r="B191" s="84">
        <v>369</v>
      </c>
      <c r="C191" s="84" t="s">
        <v>38</v>
      </c>
      <c r="D191" s="85">
        <f t="shared" ref="D191" si="59">SUM(D192:D193)</f>
        <v>0</v>
      </c>
      <c r="E191" s="85">
        <f t="shared" ref="E191:H191" si="60">SUM(E192:E193)</f>
        <v>0</v>
      </c>
      <c r="F191" s="85">
        <f t="shared" si="60"/>
        <v>0</v>
      </c>
      <c r="G191" s="85">
        <f t="shared" si="60"/>
        <v>0</v>
      </c>
      <c r="H191" s="85">
        <f t="shared" si="60"/>
        <v>0</v>
      </c>
    </row>
    <row r="192" spans="1:8" ht="15.75" customHeight="1" x14ac:dyDescent="0.25">
      <c r="A192" s="55"/>
      <c r="B192" s="84">
        <v>3691</v>
      </c>
      <c r="C192" s="87" t="s">
        <v>305</v>
      </c>
      <c r="D192" s="85"/>
      <c r="E192" s="85"/>
      <c r="F192" s="85"/>
      <c r="G192" s="85"/>
      <c r="H192" s="85"/>
    </row>
    <row r="193" spans="1:8" ht="15.75" customHeight="1" x14ac:dyDescent="0.25">
      <c r="A193" s="39"/>
      <c r="B193" s="84">
        <v>3692</v>
      </c>
      <c r="C193" s="87" t="s">
        <v>306</v>
      </c>
      <c r="D193" s="85"/>
      <c r="E193" s="85"/>
      <c r="F193" s="85"/>
      <c r="G193" s="85"/>
      <c r="H193" s="85"/>
    </row>
    <row r="194" spans="1:8" x14ac:dyDescent="0.25">
      <c r="A194" s="39"/>
      <c r="B194" s="99">
        <v>37</v>
      </c>
      <c r="C194" s="525" t="s">
        <v>163</v>
      </c>
      <c r="D194" s="100">
        <f t="shared" ref="D194:H195" si="61">D195</f>
        <v>9591.11</v>
      </c>
      <c r="E194" s="100">
        <f t="shared" si="61"/>
        <v>2000</v>
      </c>
      <c r="F194" s="100">
        <f t="shared" si="61"/>
        <v>1500</v>
      </c>
      <c r="G194" s="100">
        <f t="shared" si="61"/>
        <v>1500</v>
      </c>
      <c r="H194" s="100">
        <f t="shared" si="61"/>
        <v>1500</v>
      </c>
    </row>
    <row r="195" spans="1:8" x14ac:dyDescent="0.25">
      <c r="A195" s="39"/>
      <c r="B195" s="84">
        <v>372</v>
      </c>
      <c r="C195" s="84" t="s">
        <v>164</v>
      </c>
      <c r="D195" s="85">
        <f t="shared" si="61"/>
        <v>9591.11</v>
      </c>
      <c r="E195" s="85">
        <f t="shared" si="61"/>
        <v>2000</v>
      </c>
      <c r="F195" s="85">
        <f t="shared" si="61"/>
        <v>1500</v>
      </c>
      <c r="G195" s="85">
        <f t="shared" si="61"/>
        <v>1500</v>
      </c>
      <c r="H195" s="85">
        <f t="shared" si="61"/>
        <v>1500</v>
      </c>
    </row>
    <row r="196" spans="1:8" x14ac:dyDescent="0.25">
      <c r="A196" s="39"/>
      <c r="B196" s="84">
        <v>3721</v>
      </c>
      <c r="C196" s="84" t="s">
        <v>165</v>
      </c>
      <c r="D196" s="85">
        <f t="shared" ref="D196" si="62">SUM(D197:D198)</f>
        <v>9591.11</v>
      </c>
      <c r="E196" s="85">
        <f t="shared" ref="E196:H196" si="63">SUM(E197:E198)</f>
        <v>2000</v>
      </c>
      <c r="F196" s="85">
        <f t="shared" si="63"/>
        <v>1500</v>
      </c>
      <c r="G196" s="85">
        <f t="shared" si="63"/>
        <v>1500</v>
      </c>
      <c r="H196" s="85">
        <f t="shared" si="63"/>
        <v>1500</v>
      </c>
    </row>
    <row r="197" spans="1:8" x14ac:dyDescent="0.25">
      <c r="A197" s="39"/>
      <c r="B197" s="83">
        <v>37212</v>
      </c>
      <c r="C197" s="83" t="s">
        <v>471</v>
      </c>
      <c r="D197" s="81">
        <f>' PRIHODI I RASHODI-izvori'!E319</f>
        <v>0</v>
      </c>
      <c r="E197" s="81">
        <f>' PRIHODI I RASHODI-izvori'!F319</f>
        <v>1500</v>
      </c>
      <c r="F197" s="81">
        <f>' PRIHODI I RASHODI-izvori'!G319</f>
        <v>1000</v>
      </c>
      <c r="G197" s="81">
        <f>' PRIHODI I RASHODI-izvori'!H319</f>
        <v>1000</v>
      </c>
      <c r="H197" s="81">
        <f>' PRIHODI I RASHODI-izvori'!I319</f>
        <v>1000</v>
      </c>
    </row>
    <row r="198" spans="1:8" x14ac:dyDescent="0.25">
      <c r="A198" s="39"/>
      <c r="B198" s="83">
        <v>37215</v>
      </c>
      <c r="C198" s="83" t="s">
        <v>472</v>
      </c>
      <c r="D198" s="81">
        <f>' PRIHODI I RASHODI-izvori'!E320</f>
        <v>9591.11</v>
      </c>
      <c r="E198" s="81">
        <f>' PRIHODI I RASHODI-izvori'!F320</f>
        <v>500</v>
      </c>
      <c r="F198" s="81">
        <f>' PRIHODI I RASHODI-izvori'!G320</f>
        <v>500</v>
      </c>
      <c r="G198" s="81">
        <f>' PRIHODI I RASHODI-izvori'!H320</f>
        <v>500</v>
      </c>
      <c r="H198" s="81">
        <f>' PRIHODI I RASHODI-izvori'!I320</f>
        <v>500</v>
      </c>
    </row>
    <row r="199" spans="1:8" x14ac:dyDescent="0.25">
      <c r="A199" s="39"/>
      <c r="B199" s="99">
        <v>38</v>
      </c>
      <c r="C199" s="99" t="s">
        <v>307</v>
      </c>
      <c r="D199" s="100">
        <f t="shared" ref="D199" si="64">SUM(D200,D202,D207)</f>
        <v>476.22</v>
      </c>
      <c r="E199" s="100">
        <f t="shared" ref="E199:H199" si="65">SUM(E200,E202,E207)</f>
        <v>500</v>
      </c>
      <c r="F199" s="100">
        <f t="shared" si="65"/>
        <v>500</v>
      </c>
      <c r="G199" s="100">
        <f t="shared" si="65"/>
        <v>500</v>
      </c>
      <c r="H199" s="100">
        <f t="shared" si="65"/>
        <v>500</v>
      </c>
    </row>
    <row r="200" spans="1:8" x14ac:dyDescent="0.25">
      <c r="A200" s="39"/>
      <c r="B200" s="84">
        <v>381</v>
      </c>
      <c r="C200" s="84" t="s">
        <v>168</v>
      </c>
      <c r="D200" s="85">
        <f t="shared" ref="D200:H200" si="66">SUM(D201)</f>
        <v>0</v>
      </c>
      <c r="E200" s="85">
        <f t="shared" si="66"/>
        <v>0</v>
      </c>
      <c r="F200" s="85">
        <f t="shared" si="66"/>
        <v>0</v>
      </c>
      <c r="G200" s="85">
        <f t="shared" si="66"/>
        <v>0</v>
      </c>
      <c r="H200" s="85">
        <f t="shared" si="66"/>
        <v>0</v>
      </c>
    </row>
    <row r="201" spans="1:8" x14ac:dyDescent="0.25">
      <c r="A201" s="39"/>
      <c r="B201" s="84">
        <v>3811</v>
      </c>
      <c r="C201" s="84" t="s">
        <v>168</v>
      </c>
      <c r="D201" s="81"/>
      <c r="E201" s="81"/>
      <c r="F201" s="81"/>
      <c r="G201" s="81"/>
      <c r="H201" s="81"/>
    </row>
    <row r="202" spans="1:8" x14ac:dyDescent="0.25">
      <c r="A202" s="39"/>
      <c r="B202" s="84">
        <v>383</v>
      </c>
      <c r="C202" s="84" t="s">
        <v>170</v>
      </c>
      <c r="D202" s="85">
        <f t="shared" ref="D202" si="67">SUM(D203:D205)</f>
        <v>476.22</v>
      </c>
      <c r="E202" s="85">
        <f t="shared" ref="E202:H202" si="68">SUM(E203:E205)</f>
        <v>500</v>
      </c>
      <c r="F202" s="85">
        <f t="shared" si="68"/>
        <v>500</v>
      </c>
      <c r="G202" s="85">
        <f t="shared" si="68"/>
        <v>500</v>
      </c>
      <c r="H202" s="85">
        <f t="shared" si="68"/>
        <v>500</v>
      </c>
    </row>
    <row r="203" spans="1:8" x14ac:dyDescent="0.25">
      <c r="A203" s="55"/>
      <c r="B203" s="84">
        <v>3831</v>
      </c>
      <c r="C203" s="84" t="s">
        <v>308</v>
      </c>
      <c r="D203" s="81"/>
      <c r="E203" s="81"/>
      <c r="F203" s="81"/>
      <c r="G203" s="81"/>
      <c r="H203" s="81"/>
    </row>
    <row r="204" spans="1:8" x14ac:dyDescent="0.25">
      <c r="A204" s="39"/>
      <c r="B204" s="84">
        <v>3833</v>
      </c>
      <c r="C204" s="84" t="s">
        <v>309</v>
      </c>
      <c r="D204" s="81"/>
      <c r="E204" s="81"/>
      <c r="F204" s="81"/>
      <c r="G204" s="81"/>
      <c r="H204" s="81"/>
    </row>
    <row r="205" spans="1:8" x14ac:dyDescent="0.25">
      <c r="A205" s="39"/>
      <c r="B205" s="84">
        <v>3834</v>
      </c>
      <c r="C205" s="84" t="s">
        <v>173</v>
      </c>
      <c r="D205" s="85">
        <f t="shared" ref="D205:H205" si="69">SUM(D206)</f>
        <v>476.22</v>
      </c>
      <c r="E205" s="85">
        <f t="shared" si="69"/>
        <v>500</v>
      </c>
      <c r="F205" s="85">
        <f t="shared" si="69"/>
        <v>500</v>
      </c>
      <c r="G205" s="85">
        <f t="shared" si="69"/>
        <v>500</v>
      </c>
      <c r="H205" s="85">
        <f t="shared" si="69"/>
        <v>500</v>
      </c>
    </row>
    <row r="206" spans="1:8" x14ac:dyDescent="0.25">
      <c r="A206" s="39"/>
      <c r="B206" s="83">
        <v>38341</v>
      </c>
      <c r="C206" s="83" t="s">
        <v>173</v>
      </c>
      <c r="D206" s="81">
        <f>' PRIHODI I RASHODI-izvori'!E328</f>
        <v>476.22</v>
      </c>
      <c r="E206" s="81">
        <f>' PRIHODI I RASHODI-izvori'!F328</f>
        <v>500</v>
      </c>
      <c r="F206" s="81">
        <f>' PRIHODI I RASHODI-izvori'!G328</f>
        <v>500</v>
      </c>
      <c r="G206" s="81">
        <f>' PRIHODI I RASHODI-izvori'!H328</f>
        <v>500</v>
      </c>
      <c r="H206" s="81">
        <f>' PRIHODI I RASHODI-izvori'!I328</f>
        <v>500</v>
      </c>
    </row>
    <row r="207" spans="1:8" x14ac:dyDescent="0.25">
      <c r="A207" s="39"/>
      <c r="B207" s="84">
        <v>385</v>
      </c>
      <c r="C207" s="84" t="s">
        <v>170</v>
      </c>
      <c r="D207" s="85">
        <f t="shared" ref="D207:H207" si="70">SUM(D208)</f>
        <v>0</v>
      </c>
      <c r="E207" s="85">
        <f t="shared" si="70"/>
        <v>0</v>
      </c>
      <c r="F207" s="85">
        <f t="shared" si="70"/>
        <v>0</v>
      </c>
      <c r="G207" s="85">
        <f t="shared" si="70"/>
        <v>0</v>
      </c>
      <c r="H207" s="85">
        <f t="shared" si="70"/>
        <v>0</v>
      </c>
    </row>
    <row r="208" spans="1:8" x14ac:dyDescent="0.25">
      <c r="A208" s="39"/>
      <c r="B208" s="84">
        <v>3859</v>
      </c>
      <c r="C208" s="84" t="s">
        <v>310</v>
      </c>
      <c r="D208" s="81"/>
      <c r="E208" s="81"/>
      <c r="F208" s="81"/>
      <c r="G208" s="81"/>
      <c r="H208" s="81"/>
    </row>
    <row r="209" spans="1:8" x14ac:dyDescent="0.25">
      <c r="A209" s="36">
        <v>4</v>
      </c>
      <c r="B209" s="98"/>
      <c r="C209" s="98" t="s">
        <v>175</v>
      </c>
      <c r="D209" s="91">
        <f t="shared" ref="D209" si="71">D210+D215+D239</f>
        <v>846874.29</v>
      </c>
      <c r="E209" s="91">
        <f t="shared" ref="E209:H209" si="72">E210+E215+E239</f>
        <v>369702.17000000004</v>
      </c>
      <c r="F209" s="91">
        <f t="shared" si="72"/>
        <v>350648.28</v>
      </c>
      <c r="G209" s="91">
        <f t="shared" si="72"/>
        <v>353598.28</v>
      </c>
      <c r="H209" s="91">
        <f t="shared" si="72"/>
        <v>356548.28</v>
      </c>
    </row>
    <row r="210" spans="1:8" x14ac:dyDescent="0.25">
      <c r="A210" s="39"/>
      <c r="B210" s="99">
        <v>41</v>
      </c>
      <c r="C210" s="99" t="s">
        <v>311</v>
      </c>
      <c r="D210" s="100">
        <f t="shared" ref="D210" si="73">SUM(D211,D213)</f>
        <v>0</v>
      </c>
      <c r="E210" s="100">
        <f t="shared" ref="E210:H210" si="74">SUM(E211,E213)</f>
        <v>0</v>
      </c>
      <c r="F210" s="100">
        <f t="shared" si="74"/>
        <v>0</v>
      </c>
      <c r="G210" s="100">
        <f t="shared" si="74"/>
        <v>0</v>
      </c>
      <c r="H210" s="100">
        <f t="shared" si="74"/>
        <v>0</v>
      </c>
    </row>
    <row r="211" spans="1:8" x14ac:dyDescent="0.25">
      <c r="A211" s="39"/>
      <c r="B211" s="84">
        <v>411</v>
      </c>
      <c r="C211" s="84" t="s">
        <v>179</v>
      </c>
      <c r="D211" s="85">
        <f t="shared" ref="D211:H211" si="75">SUM(D212)</f>
        <v>0</v>
      </c>
      <c r="E211" s="85">
        <f t="shared" si="75"/>
        <v>0</v>
      </c>
      <c r="F211" s="85">
        <f t="shared" si="75"/>
        <v>0</v>
      </c>
      <c r="G211" s="85">
        <f t="shared" si="75"/>
        <v>0</v>
      </c>
      <c r="H211" s="85">
        <f t="shared" si="75"/>
        <v>0</v>
      </c>
    </row>
    <row r="212" spans="1:8" x14ac:dyDescent="0.25">
      <c r="A212" s="39"/>
      <c r="B212" s="83">
        <v>41112</v>
      </c>
      <c r="C212" s="83" t="s">
        <v>181</v>
      </c>
      <c r="D212" s="81"/>
      <c r="E212" s="81"/>
      <c r="F212" s="81"/>
      <c r="G212" s="81"/>
      <c r="H212" s="81"/>
    </row>
    <row r="213" spans="1:8" x14ac:dyDescent="0.25">
      <c r="A213" s="39"/>
      <c r="B213" s="84">
        <v>412</v>
      </c>
      <c r="C213" s="84" t="s">
        <v>182</v>
      </c>
      <c r="D213" s="85">
        <f t="shared" ref="D213:H213" si="76">SUM(D214)</f>
        <v>0</v>
      </c>
      <c r="E213" s="85">
        <f t="shared" si="76"/>
        <v>0</v>
      </c>
      <c r="F213" s="85">
        <f t="shared" si="76"/>
        <v>0</v>
      </c>
      <c r="G213" s="85">
        <f t="shared" si="76"/>
        <v>0</v>
      </c>
      <c r="H213" s="85">
        <f t="shared" si="76"/>
        <v>0</v>
      </c>
    </row>
    <row r="214" spans="1:8" x14ac:dyDescent="0.25">
      <c r="A214" s="39"/>
      <c r="B214" s="84">
        <v>4123</v>
      </c>
      <c r="C214" s="84" t="s">
        <v>183</v>
      </c>
      <c r="D214" s="85"/>
      <c r="E214" s="85"/>
      <c r="F214" s="85"/>
      <c r="G214" s="85"/>
      <c r="H214" s="85"/>
    </row>
    <row r="215" spans="1:8" x14ac:dyDescent="0.25">
      <c r="A215" s="39"/>
      <c r="B215" s="99">
        <v>42</v>
      </c>
      <c r="C215" s="99" t="s">
        <v>312</v>
      </c>
      <c r="D215" s="100">
        <f t="shared" ref="D215" si="77">D216+D218+D234</f>
        <v>686384.68</v>
      </c>
      <c r="E215" s="100">
        <f t="shared" ref="E215:H215" si="78">E216+E218+E234</f>
        <v>285828.35000000003</v>
      </c>
      <c r="F215" s="100">
        <f t="shared" si="78"/>
        <v>256367.12</v>
      </c>
      <c r="G215" s="100">
        <f t="shared" si="78"/>
        <v>259317.12</v>
      </c>
      <c r="H215" s="100">
        <f t="shared" si="78"/>
        <v>262267.12</v>
      </c>
    </row>
    <row r="216" spans="1:8" x14ac:dyDescent="0.25">
      <c r="A216" s="39"/>
      <c r="B216" s="84">
        <v>421</v>
      </c>
      <c r="C216" s="84" t="s">
        <v>208</v>
      </c>
      <c r="D216" s="85">
        <f t="shared" ref="D216:H216" si="79">SUM(D217)</f>
        <v>0</v>
      </c>
      <c r="E216" s="85">
        <f t="shared" si="79"/>
        <v>0</v>
      </c>
      <c r="F216" s="85">
        <f t="shared" si="79"/>
        <v>0</v>
      </c>
      <c r="G216" s="85">
        <f t="shared" si="79"/>
        <v>0</v>
      </c>
      <c r="H216" s="85">
        <f t="shared" si="79"/>
        <v>0</v>
      </c>
    </row>
    <row r="217" spans="1:8" x14ac:dyDescent="0.25">
      <c r="A217" s="39"/>
      <c r="B217" s="84">
        <v>4212</v>
      </c>
      <c r="C217" s="84" t="s">
        <v>210</v>
      </c>
      <c r="D217" s="85"/>
      <c r="E217" s="85"/>
      <c r="F217" s="85"/>
      <c r="G217" s="85"/>
      <c r="H217" s="85"/>
    </row>
    <row r="218" spans="1:8" x14ac:dyDescent="0.25">
      <c r="A218" s="39"/>
      <c r="B218" s="84">
        <v>422</v>
      </c>
      <c r="C218" s="84" t="s">
        <v>185</v>
      </c>
      <c r="D218" s="85">
        <f t="shared" ref="D218" si="80">D219+D223+D224+D227+D230+D232</f>
        <v>686384.68</v>
      </c>
      <c r="E218" s="85">
        <f t="shared" ref="E218:H218" si="81">E219+E223+E224+E227+E230+E232</f>
        <v>279106.07</v>
      </c>
      <c r="F218" s="85">
        <f t="shared" si="81"/>
        <v>249644.84</v>
      </c>
      <c r="G218" s="85">
        <f t="shared" si="81"/>
        <v>252594.84</v>
      </c>
      <c r="H218" s="85">
        <f t="shared" si="81"/>
        <v>255544.84</v>
      </c>
    </row>
    <row r="219" spans="1:8" x14ac:dyDescent="0.25">
      <c r="A219" s="39"/>
      <c r="B219" s="84">
        <v>4221</v>
      </c>
      <c r="C219" s="84" t="s">
        <v>187</v>
      </c>
      <c r="D219" s="85">
        <f t="shared" ref="D219" si="82">SUM(D220:D222)</f>
        <v>950.63</v>
      </c>
      <c r="E219" s="85">
        <f t="shared" ref="E219:H219" si="83">SUM(E220:E222)</f>
        <v>19272.28</v>
      </c>
      <c r="F219" s="85">
        <f t="shared" si="83"/>
        <v>8115</v>
      </c>
      <c r="G219" s="85">
        <f t="shared" si="83"/>
        <v>8115</v>
      </c>
      <c r="H219" s="85">
        <f t="shared" si="83"/>
        <v>8115</v>
      </c>
    </row>
    <row r="220" spans="1:8" x14ac:dyDescent="0.25">
      <c r="A220" s="39"/>
      <c r="B220" s="83">
        <v>42211</v>
      </c>
      <c r="C220" s="83" t="s">
        <v>473</v>
      </c>
      <c r="D220" s="81">
        <f>' PRIHODI I RASHODI-izvori'!E62+' PRIHODI I RASHODI-izvori'!E341</f>
        <v>370.63</v>
      </c>
      <c r="E220" s="81">
        <f>' PRIHODI I RASHODI-izvori'!F62+' PRIHODI I RASHODI-izvori'!F341</f>
        <v>6250</v>
      </c>
      <c r="F220" s="81">
        <f>' PRIHODI I RASHODI-izvori'!G62+' PRIHODI I RASHODI-izvori'!G341</f>
        <v>1000</v>
      </c>
      <c r="G220" s="81">
        <f>' PRIHODI I RASHODI-izvori'!H62+' PRIHODI I RASHODI-izvori'!H341</f>
        <v>1000</v>
      </c>
      <c r="H220" s="81">
        <f>' PRIHODI I RASHODI-izvori'!I62+' PRIHODI I RASHODI-izvori'!I341</f>
        <v>1000</v>
      </c>
    </row>
    <row r="221" spans="1:8" x14ac:dyDescent="0.25">
      <c r="A221" s="39"/>
      <c r="B221" s="83">
        <v>42212</v>
      </c>
      <c r="C221" s="83" t="s">
        <v>474</v>
      </c>
      <c r="D221" s="81">
        <f>' PRIHODI I RASHODI-izvori'!E63+' PRIHODI I RASHODI-izvori'!E342+' PRIHODI I RASHODI-izvori'!E168</f>
        <v>580</v>
      </c>
      <c r="E221" s="81">
        <f>' PRIHODI I RASHODI-izvori'!F63+' PRIHODI I RASHODI-izvori'!F342+' PRIHODI I RASHODI-izvori'!F168</f>
        <v>11672.28</v>
      </c>
      <c r="F221" s="81">
        <f>' PRIHODI I RASHODI-izvori'!G63+' PRIHODI I RASHODI-izvori'!G342+' PRIHODI I RASHODI-izvori'!G168</f>
        <v>6315</v>
      </c>
      <c r="G221" s="81">
        <f>' PRIHODI I RASHODI-izvori'!H63+' PRIHODI I RASHODI-izvori'!H342+' PRIHODI I RASHODI-izvori'!H168</f>
        <v>6315</v>
      </c>
      <c r="H221" s="81">
        <f>' PRIHODI I RASHODI-izvori'!I63+' PRIHODI I RASHODI-izvori'!I342+' PRIHODI I RASHODI-izvori'!I168</f>
        <v>6315</v>
      </c>
    </row>
    <row r="222" spans="1:8" x14ac:dyDescent="0.25">
      <c r="A222" s="39"/>
      <c r="B222" s="83">
        <v>42219</v>
      </c>
      <c r="C222" s="83" t="s">
        <v>475</v>
      </c>
      <c r="D222" s="81">
        <f>' PRIHODI I RASHODI-izvori'!E343</f>
        <v>0</v>
      </c>
      <c r="E222" s="81">
        <f>' PRIHODI I RASHODI-izvori'!F343</f>
        <v>1350</v>
      </c>
      <c r="F222" s="81">
        <f>' PRIHODI I RASHODI-izvori'!G343</f>
        <v>800</v>
      </c>
      <c r="G222" s="81">
        <f>' PRIHODI I RASHODI-izvori'!H343</f>
        <v>800</v>
      </c>
      <c r="H222" s="81">
        <f>' PRIHODI I RASHODI-izvori'!I343</f>
        <v>800</v>
      </c>
    </row>
    <row r="223" spans="1:8" x14ac:dyDescent="0.25">
      <c r="A223" s="39"/>
      <c r="B223" s="84">
        <v>4222</v>
      </c>
      <c r="C223" s="84" t="s">
        <v>189</v>
      </c>
      <c r="D223" s="85"/>
      <c r="E223" s="85"/>
      <c r="F223" s="85"/>
      <c r="G223" s="85"/>
      <c r="H223" s="85"/>
    </row>
    <row r="224" spans="1:8" x14ac:dyDescent="0.25">
      <c r="A224" s="39"/>
      <c r="B224" s="84">
        <v>4223</v>
      </c>
      <c r="C224" s="84" t="s">
        <v>313</v>
      </c>
      <c r="D224" s="85">
        <f t="shared" ref="D224" si="84">SUM(D225:D226)</f>
        <v>3832.41</v>
      </c>
      <c r="E224" s="85">
        <f t="shared" ref="E224:H224" si="85">SUM(E225:E226)</f>
        <v>16272.28</v>
      </c>
      <c r="F224" s="85">
        <f t="shared" si="85"/>
        <v>10166.73</v>
      </c>
      <c r="G224" s="85">
        <f t="shared" si="85"/>
        <v>10666.73</v>
      </c>
      <c r="H224" s="85">
        <f t="shared" si="85"/>
        <v>11166.73</v>
      </c>
    </row>
    <row r="225" spans="1:8" x14ac:dyDescent="0.25">
      <c r="A225" s="39"/>
      <c r="B225" s="83">
        <v>42231</v>
      </c>
      <c r="C225" s="83" t="s">
        <v>477</v>
      </c>
      <c r="D225" s="81">
        <f>' PRIHODI I RASHODI-izvori'!E65+' PRIHODI I RASHODI-izvori'!E346+' PRIHODI I RASHODI-izvori'!E171</f>
        <v>3832.41</v>
      </c>
      <c r="E225" s="81">
        <f>' PRIHODI I RASHODI-izvori'!F65+' PRIHODI I RASHODI-izvori'!F346+' PRIHODI I RASHODI-izvori'!F171</f>
        <v>15922.28</v>
      </c>
      <c r="F225" s="81">
        <f>' PRIHODI I RASHODI-izvori'!G65+' PRIHODI I RASHODI-izvori'!G346+' PRIHODI I RASHODI-izvori'!G171</f>
        <v>9816.73</v>
      </c>
      <c r="G225" s="81">
        <f>' PRIHODI I RASHODI-izvori'!H65+' PRIHODI I RASHODI-izvori'!H346+' PRIHODI I RASHODI-izvori'!H171</f>
        <v>10316.73</v>
      </c>
      <c r="H225" s="81">
        <f>' PRIHODI I RASHODI-izvori'!I65+' PRIHODI I RASHODI-izvori'!I346+' PRIHODI I RASHODI-izvori'!I171</f>
        <v>10816.73</v>
      </c>
    </row>
    <row r="226" spans="1:8" x14ac:dyDescent="0.25">
      <c r="A226" s="39"/>
      <c r="B226" s="83">
        <v>42232</v>
      </c>
      <c r="C226" s="83" t="s">
        <v>476</v>
      </c>
      <c r="D226" s="81">
        <f>' PRIHODI I RASHODI-izvori'!E347</f>
        <v>0</v>
      </c>
      <c r="E226" s="81">
        <f>' PRIHODI I RASHODI-izvori'!F347</f>
        <v>350</v>
      </c>
      <c r="F226" s="81">
        <f>' PRIHODI I RASHODI-izvori'!G347</f>
        <v>350</v>
      </c>
      <c r="G226" s="81">
        <f>' PRIHODI I RASHODI-izvori'!H347</f>
        <v>350</v>
      </c>
      <c r="H226" s="81">
        <f>' PRIHODI I RASHODI-izvori'!I347</f>
        <v>350</v>
      </c>
    </row>
    <row r="227" spans="1:8" x14ac:dyDescent="0.25">
      <c r="A227" s="39"/>
      <c r="B227" s="84">
        <v>4224</v>
      </c>
      <c r="C227" s="84" t="s">
        <v>191</v>
      </c>
      <c r="D227" s="85">
        <f t="shared" ref="D227" si="86">SUM(D228:D229)</f>
        <v>630296.25</v>
      </c>
      <c r="E227" s="85">
        <f t="shared" ref="E227:H227" si="87">SUM(E228:E229)</f>
        <v>199225.26</v>
      </c>
      <c r="F227" s="85">
        <f t="shared" si="87"/>
        <v>192518.11</v>
      </c>
      <c r="G227" s="85">
        <f t="shared" si="87"/>
        <v>194618.11</v>
      </c>
      <c r="H227" s="85">
        <f t="shared" si="87"/>
        <v>196718.11</v>
      </c>
    </row>
    <row r="228" spans="1:8" x14ac:dyDescent="0.25">
      <c r="A228" s="39"/>
      <c r="B228" s="83">
        <v>42241</v>
      </c>
      <c r="C228" s="83" t="s">
        <v>478</v>
      </c>
      <c r="D228" s="81">
        <f>' PRIHODI I RASHODI-izvori'!E67+' PRIHODI I RASHODI-izvori'!E349+' PRIHODI I RASHODI-izvori'!E489+' PRIHODI I RASHODI-izvori'!E421</f>
        <v>630296.25</v>
      </c>
      <c r="E228" s="81">
        <f>' PRIHODI I RASHODI-izvori'!F67+' PRIHODI I RASHODI-izvori'!F349+' PRIHODI I RASHODI-izvori'!F489+' PRIHODI I RASHODI-izvori'!F421</f>
        <v>196975.26</v>
      </c>
      <c r="F228" s="81">
        <f>' PRIHODI I RASHODI-izvori'!G67+' PRIHODI I RASHODI-izvori'!G349+' PRIHODI I RASHODI-izvori'!G489+' PRIHODI I RASHODI-izvori'!G421</f>
        <v>191018.11</v>
      </c>
      <c r="G228" s="81">
        <f>' PRIHODI I RASHODI-izvori'!H67+' PRIHODI I RASHODI-izvori'!H349+' PRIHODI I RASHODI-izvori'!H489+' PRIHODI I RASHODI-izvori'!H421</f>
        <v>193018.11</v>
      </c>
      <c r="H228" s="81">
        <f>' PRIHODI I RASHODI-izvori'!I67+' PRIHODI I RASHODI-izvori'!I349+' PRIHODI I RASHODI-izvori'!I489+' PRIHODI I RASHODI-izvori'!I421</f>
        <v>195018.11</v>
      </c>
    </row>
    <row r="229" spans="1:8" x14ac:dyDescent="0.25">
      <c r="A229" s="39"/>
      <c r="B229" s="83">
        <v>42242</v>
      </c>
      <c r="C229" s="83" t="s">
        <v>479</v>
      </c>
      <c r="D229" s="81">
        <f>' PRIHODI I RASHODI-izvori'!E350</f>
        <v>0</v>
      </c>
      <c r="E229" s="81">
        <f>' PRIHODI I RASHODI-izvori'!F350</f>
        <v>2250</v>
      </c>
      <c r="F229" s="81">
        <f>' PRIHODI I RASHODI-izvori'!G350</f>
        <v>1500</v>
      </c>
      <c r="G229" s="81">
        <f>' PRIHODI I RASHODI-izvori'!H350</f>
        <v>1600</v>
      </c>
      <c r="H229" s="81">
        <f>' PRIHODI I RASHODI-izvori'!I350</f>
        <v>1700</v>
      </c>
    </row>
    <row r="230" spans="1:8" x14ac:dyDescent="0.25">
      <c r="A230" s="39"/>
      <c r="B230" s="84">
        <v>4225</v>
      </c>
      <c r="C230" s="84" t="s">
        <v>192</v>
      </c>
      <c r="D230" s="85">
        <f t="shared" ref="D230:H230" si="88">SUM(D231)</f>
        <v>51305.39</v>
      </c>
      <c r="E230" s="85">
        <f t="shared" si="88"/>
        <v>40354.57</v>
      </c>
      <c r="F230" s="85">
        <f t="shared" si="88"/>
        <v>36845</v>
      </c>
      <c r="G230" s="85">
        <f t="shared" si="88"/>
        <v>36995</v>
      </c>
      <c r="H230" s="85">
        <f t="shared" si="88"/>
        <v>37145</v>
      </c>
    </row>
    <row r="231" spans="1:8" x14ac:dyDescent="0.25">
      <c r="A231" s="39"/>
      <c r="B231" s="83">
        <v>42259</v>
      </c>
      <c r="C231" s="83" t="s">
        <v>579</v>
      </c>
      <c r="D231" s="81">
        <f>' PRIHODI I RASHODI-izvori'!E69+' PRIHODI I RASHODI-izvori'!E352</f>
        <v>51305.39</v>
      </c>
      <c r="E231" s="81">
        <f>' PRIHODI I RASHODI-izvori'!F69+' PRIHODI I RASHODI-izvori'!F352</f>
        <v>40354.57</v>
      </c>
      <c r="F231" s="81">
        <f>' PRIHODI I RASHODI-izvori'!G69+' PRIHODI I RASHODI-izvori'!G352</f>
        <v>36845</v>
      </c>
      <c r="G231" s="81">
        <f>' PRIHODI I RASHODI-izvori'!H69+' PRIHODI I RASHODI-izvori'!H352</f>
        <v>36995</v>
      </c>
      <c r="H231" s="81">
        <f>' PRIHODI I RASHODI-izvori'!I69+' PRIHODI I RASHODI-izvori'!I352</f>
        <v>37145</v>
      </c>
    </row>
    <row r="232" spans="1:8" x14ac:dyDescent="0.25">
      <c r="A232" s="39"/>
      <c r="B232" s="84">
        <v>4227</v>
      </c>
      <c r="C232" s="84" t="s">
        <v>193</v>
      </c>
      <c r="D232" s="85">
        <f t="shared" ref="D232:H232" si="89">D233</f>
        <v>0</v>
      </c>
      <c r="E232" s="85">
        <f t="shared" si="89"/>
        <v>3981.68</v>
      </c>
      <c r="F232" s="85">
        <f t="shared" si="89"/>
        <v>2000</v>
      </c>
      <c r="G232" s="85">
        <f t="shared" si="89"/>
        <v>2200</v>
      </c>
      <c r="H232" s="85">
        <f t="shared" si="89"/>
        <v>2400</v>
      </c>
    </row>
    <row r="233" spans="1:8" x14ac:dyDescent="0.25">
      <c r="A233" s="39"/>
      <c r="B233" s="83">
        <v>42273</v>
      </c>
      <c r="C233" s="83" t="s">
        <v>193</v>
      </c>
      <c r="D233" s="81">
        <f>' PRIHODI I RASHODI-izvori'!E354+' PRIHODI I RASHODI-izvori'!E175</f>
        <v>0</v>
      </c>
      <c r="E233" s="81">
        <f>' PRIHODI I RASHODI-izvori'!F354+' PRIHODI I RASHODI-izvori'!F175</f>
        <v>3981.68</v>
      </c>
      <c r="F233" s="81">
        <f>' PRIHODI I RASHODI-izvori'!G354+' PRIHODI I RASHODI-izvori'!G175</f>
        <v>2000</v>
      </c>
      <c r="G233" s="81">
        <f>' PRIHODI I RASHODI-izvori'!H354+' PRIHODI I RASHODI-izvori'!H175</f>
        <v>2200</v>
      </c>
      <c r="H233" s="81">
        <f>' PRIHODI I RASHODI-izvori'!I354+' PRIHODI I RASHODI-izvori'!I175</f>
        <v>2400</v>
      </c>
    </row>
    <row r="234" spans="1:8" x14ac:dyDescent="0.25">
      <c r="A234" s="39"/>
      <c r="B234" s="84">
        <v>423</v>
      </c>
      <c r="C234" s="84" t="s">
        <v>194</v>
      </c>
      <c r="D234" s="85">
        <f t="shared" ref="D234:H234" si="90">D235</f>
        <v>0</v>
      </c>
      <c r="E234" s="85">
        <f t="shared" si="90"/>
        <v>6722.28</v>
      </c>
      <c r="F234" s="85">
        <f t="shared" si="90"/>
        <v>6722.28</v>
      </c>
      <c r="G234" s="85">
        <f t="shared" si="90"/>
        <v>6722.28</v>
      </c>
      <c r="H234" s="85">
        <f t="shared" si="90"/>
        <v>6722.28</v>
      </c>
    </row>
    <row r="235" spans="1:8" x14ac:dyDescent="0.25">
      <c r="A235" s="39"/>
      <c r="B235" s="84">
        <v>4231</v>
      </c>
      <c r="C235" s="84" t="s">
        <v>194</v>
      </c>
      <c r="D235" s="85">
        <f t="shared" ref="D235:H235" si="91">SUM(D236)</f>
        <v>0</v>
      </c>
      <c r="E235" s="85">
        <f t="shared" si="91"/>
        <v>6722.28</v>
      </c>
      <c r="F235" s="85">
        <f t="shared" si="91"/>
        <v>6722.28</v>
      </c>
      <c r="G235" s="85">
        <f t="shared" si="91"/>
        <v>6722.28</v>
      </c>
      <c r="H235" s="85">
        <f t="shared" si="91"/>
        <v>6722.28</v>
      </c>
    </row>
    <row r="236" spans="1:8" x14ac:dyDescent="0.25">
      <c r="A236" s="39"/>
      <c r="B236" s="83">
        <v>42311</v>
      </c>
      <c r="C236" s="83" t="s">
        <v>480</v>
      </c>
      <c r="D236" s="81">
        <f>' PRIHODI I RASHODI-izvori'!E357</f>
        <v>0</v>
      </c>
      <c r="E236" s="81">
        <f>' PRIHODI I RASHODI-izvori'!F357</f>
        <v>6722.28</v>
      </c>
      <c r="F236" s="81">
        <f>' PRIHODI I RASHODI-izvori'!G357</f>
        <v>6722.28</v>
      </c>
      <c r="G236" s="81">
        <f>' PRIHODI I RASHODI-izvori'!H357</f>
        <v>6722.28</v>
      </c>
      <c r="H236" s="81">
        <f>' PRIHODI I RASHODI-izvori'!I357</f>
        <v>6722.28</v>
      </c>
    </row>
    <row r="237" spans="1:8" s="90" customFormat="1" x14ac:dyDescent="0.25">
      <c r="A237" s="39"/>
      <c r="B237" s="84">
        <v>426</v>
      </c>
      <c r="C237" s="84" t="s">
        <v>314</v>
      </c>
      <c r="D237" s="85">
        <f t="shared" ref="D237:H237" si="92">D238</f>
        <v>0</v>
      </c>
      <c r="E237" s="85">
        <f t="shared" si="92"/>
        <v>0</v>
      </c>
      <c r="F237" s="85">
        <f t="shared" si="92"/>
        <v>0</v>
      </c>
      <c r="G237" s="85">
        <f t="shared" si="92"/>
        <v>0</v>
      </c>
      <c r="H237" s="85">
        <f t="shared" si="92"/>
        <v>0</v>
      </c>
    </row>
    <row r="238" spans="1:8" x14ac:dyDescent="0.25">
      <c r="A238" s="39"/>
      <c r="B238" s="84">
        <v>4262</v>
      </c>
      <c r="C238" s="84" t="s">
        <v>196</v>
      </c>
      <c r="D238" s="85"/>
      <c r="E238" s="85"/>
      <c r="F238" s="85"/>
      <c r="G238" s="85"/>
      <c r="H238" s="85"/>
    </row>
    <row r="239" spans="1:8" x14ac:dyDescent="0.25">
      <c r="A239" s="39"/>
      <c r="B239" s="99">
        <v>45</v>
      </c>
      <c r="C239" s="99" t="s">
        <v>200</v>
      </c>
      <c r="D239" s="100">
        <f t="shared" ref="D239" si="93">SUM(D240,D243)</f>
        <v>160489.60999999999</v>
      </c>
      <c r="E239" s="100">
        <f t="shared" ref="E239:H239" si="94">SUM(E240,E243)</f>
        <v>83873.820000000007</v>
      </c>
      <c r="F239" s="100">
        <f t="shared" si="94"/>
        <v>94281.16</v>
      </c>
      <c r="G239" s="100">
        <f t="shared" si="94"/>
        <v>94281.16</v>
      </c>
      <c r="H239" s="100">
        <f t="shared" si="94"/>
        <v>94281.16</v>
      </c>
    </row>
    <row r="240" spans="1:8" x14ac:dyDescent="0.25">
      <c r="A240" s="39"/>
      <c r="B240" s="84">
        <v>451</v>
      </c>
      <c r="C240" s="84" t="s">
        <v>208</v>
      </c>
      <c r="D240" s="85">
        <f t="shared" ref="D240:H241" si="95">SUM(D241)</f>
        <v>160489.60999999999</v>
      </c>
      <c r="E240" s="85">
        <f t="shared" si="95"/>
        <v>83873.820000000007</v>
      </c>
      <c r="F240" s="85">
        <f t="shared" si="95"/>
        <v>94281.16</v>
      </c>
      <c r="G240" s="85">
        <f t="shared" si="95"/>
        <v>94281.16</v>
      </c>
      <c r="H240" s="85">
        <f t="shared" si="95"/>
        <v>94281.16</v>
      </c>
    </row>
    <row r="241" spans="1:8" x14ac:dyDescent="0.25">
      <c r="A241" s="39"/>
      <c r="B241" s="84">
        <v>4511</v>
      </c>
      <c r="C241" s="84" t="s">
        <v>200</v>
      </c>
      <c r="D241" s="85">
        <f t="shared" si="95"/>
        <v>160489.60999999999</v>
      </c>
      <c r="E241" s="85">
        <f t="shared" si="95"/>
        <v>83873.820000000007</v>
      </c>
      <c r="F241" s="85">
        <f t="shared" si="95"/>
        <v>94281.16</v>
      </c>
      <c r="G241" s="85">
        <f t="shared" si="95"/>
        <v>94281.16</v>
      </c>
      <c r="H241" s="85">
        <f t="shared" si="95"/>
        <v>94281.16</v>
      </c>
    </row>
    <row r="242" spans="1:8" x14ac:dyDescent="0.25">
      <c r="A242" s="39"/>
      <c r="B242" s="83">
        <v>45111</v>
      </c>
      <c r="C242" s="83" t="s">
        <v>200</v>
      </c>
      <c r="D242" s="81">
        <f>' PRIHODI I RASHODI-izvori'!E73+' PRIHODI I RASHODI-izvori'!E363+' PRIHODI I RASHODI-izvori'!E472</f>
        <v>160489.60999999999</v>
      </c>
      <c r="E242" s="81">
        <f>' PRIHODI I RASHODI-izvori'!F73+' PRIHODI I RASHODI-izvori'!F363+' PRIHODI I RASHODI-izvori'!F472</f>
        <v>83873.820000000007</v>
      </c>
      <c r="F242" s="81">
        <f>' PRIHODI I RASHODI-izvori'!G73+' PRIHODI I RASHODI-izvori'!G363+' PRIHODI I RASHODI-izvori'!G472</f>
        <v>94281.16</v>
      </c>
      <c r="G242" s="81">
        <f>' PRIHODI I RASHODI-izvori'!H73+' PRIHODI I RASHODI-izvori'!H363+' PRIHODI I RASHODI-izvori'!H472</f>
        <v>94281.16</v>
      </c>
      <c r="H242" s="81">
        <f>' PRIHODI I RASHODI-izvori'!I73+' PRIHODI I RASHODI-izvori'!I363+' PRIHODI I RASHODI-izvori'!I472</f>
        <v>94281.16</v>
      </c>
    </row>
    <row r="243" spans="1:8" s="90" customFormat="1" x14ac:dyDescent="0.25">
      <c r="A243" s="103"/>
      <c r="B243" s="84">
        <v>452</v>
      </c>
      <c r="C243" s="84" t="s">
        <v>203</v>
      </c>
      <c r="D243" s="85">
        <f t="shared" ref="D243:H243" si="96">D244</f>
        <v>0</v>
      </c>
      <c r="E243" s="85">
        <f t="shared" si="96"/>
        <v>0</v>
      </c>
      <c r="F243" s="85">
        <f t="shared" si="96"/>
        <v>0</v>
      </c>
      <c r="G243" s="85">
        <f t="shared" si="96"/>
        <v>0</v>
      </c>
      <c r="H243" s="85">
        <f t="shared" si="96"/>
        <v>0</v>
      </c>
    </row>
    <row r="244" spans="1:8" x14ac:dyDescent="0.25">
      <c r="A244" s="103"/>
      <c r="B244" s="84">
        <v>4521</v>
      </c>
      <c r="C244" s="84" t="s">
        <v>203</v>
      </c>
      <c r="D244" s="85"/>
      <c r="E244" s="85"/>
      <c r="F244" s="85"/>
      <c r="G244" s="85"/>
      <c r="H244" s="85"/>
    </row>
    <row r="245" spans="1:8" x14ac:dyDescent="0.25">
      <c r="A245" s="579" t="s">
        <v>315</v>
      </c>
      <c r="B245" s="580"/>
      <c r="C245" s="581"/>
      <c r="D245" s="92">
        <f t="shared" ref="D245" si="97">D57+D209</f>
        <v>5931700.1700000009</v>
      </c>
      <c r="E245" s="92">
        <f t="shared" ref="E245:H245" si="98">E57+E209</f>
        <v>4614031.7699999996</v>
      </c>
      <c r="F245" s="92">
        <f t="shared" si="98"/>
        <v>5674498.2300000004</v>
      </c>
      <c r="G245" s="92">
        <f t="shared" si="98"/>
        <v>5750359.5899999999</v>
      </c>
      <c r="H245" s="92">
        <f t="shared" si="98"/>
        <v>5794611.3300000001</v>
      </c>
    </row>
    <row r="247" spans="1:8" x14ac:dyDescent="0.25">
      <c r="F247" s="104"/>
      <c r="G247" s="104"/>
      <c r="H247" s="104"/>
    </row>
    <row r="248" spans="1:8" ht="63" x14ac:dyDescent="0.25">
      <c r="A248" s="30" t="s">
        <v>3</v>
      </c>
      <c r="B248" s="30" t="s">
        <v>4</v>
      </c>
      <c r="C248" s="35" t="s">
        <v>6</v>
      </c>
      <c r="D248" s="30" t="s">
        <v>567</v>
      </c>
      <c r="E248" s="30" t="s">
        <v>571</v>
      </c>
      <c r="F248" s="30" t="s">
        <v>569</v>
      </c>
      <c r="G248" s="31" t="s">
        <v>570</v>
      </c>
      <c r="H248" s="31" t="s">
        <v>568</v>
      </c>
    </row>
    <row r="249" spans="1:8" s="106" customFormat="1" x14ac:dyDescent="0.25">
      <c r="A249" s="39">
        <v>9</v>
      </c>
      <c r="B249" s="83"/>
      <c r="C249" s="84" t="s">
        <v>407</v>
      </c>
      <c r="D249" s="105">
        <f t="shared" ref="D249:E250" si="99">D250</f>
        <v>-12356.04</v>
      </c>
      <c r="E249" s="105">
        <f t="shared" si="99"/>
        <v>-843058.91000000108</v>
      </c>
      <c r="F249" s="105">
        <f>F250</f>
        <v>-278132.76000000071</v>
      </c>
      <c r="G249" s="105">
        <f t="shared" ref="G249:H250" si="100">G250</f>
        <v>-532539.91000000108</v>
      </c>
      <c r="H249" s="105">
        <f t="shared" si="100"/>
        <v>-379976.31000000145</v>
      </c>
    </row>
    <row r="250" spans="1:8" s="106" customFormat="1" x14ac:dyDescent="0.25">
      <c r="A250" s="39"/>
      <c r="B250" s="107">
        <v>922</v>
      </c>
      <c r="C250" s="84" t="s">
        <v>408</v>
      </c>
      <c r="D250" s="105">
        <f t="shared" si="99"/>
        <v>-12356.04</v>
      </c>
      <c r="E250" s="105">
        <f t="shared" si="99"/>
        <v>-843058.91000000108</v>
      </c>
      <c r="F250" s="105">
        <f>F251</f>
        <v>-278132.76000000071</v>
      </c>
      <c r="G250" s="105">
        <f t="shared" si="100"/>
        <v>-532539.91000000108</v>
      </c>
      <c r="H250" s="105">
        <f t="shared" si="100"/>
        <v>-379976.31000000145</v>
      </c>
    </row>
    <row r="251" spans="1:8" x14ac:dyDescent="0.25">
      <c r="A251" s="39"/>
      <c r="B251" s="108">
        <v>9222</v>
      </c>
      <c r="C251" s="83" t="s">
        <v>604</v>
      </c>
      <c r="D251" s="109">
        <f t="shared" ref="D251:E251" si="101">D253</f>
        <v>-12356.04</v>
      </c>
      <c r="E251" s="109">
        <f t="shared" si="101"/>
        <v>-843058.91000000108</v>
      </c>
      <c r="F251" s="109">
        <f>F253</f>
        <v>-278132.76000000071</v>
      </c>
      <c r="G251" s="109">
        <f t="shared" ref="G251:H251" si="102">G253</f>
        <v>-532539.91000000108</v>
      </c>
      <c r="H251" s="109">
        <f t="shared" si="102"/>
        <v>-379976.31000000145</v>
      </c>
    </row>
    <row r="252" spans="1:8" x14ac:dyDescent="0.25">
      <c r="A252" s="39"/>
      <c r="B252" s="83"/>
      <c r="C252" s="83" t="s">
        <v>605</v>
      </c>
      <c r="D252" s="110"/>
      <c r="E252" s="110"/>
      <c r="F252" s="110"/>
      <c r="G252" s="83"/>
      <c r="H252" s="83"/>
    </row>
    <row r="253" spans="1:8" x14ac:dyDescent="0.25">
      <c r="A253" s="39"/>
      <c r="B253" s="83"/>
      <c r="C253" s="83" t="s">
        <v>606</v>
      </c>
      <c r="D253" s="109">
        <f>SAŽETAK!G37</f>
        <v>-12356.04</v>
      </c>
      <c r="E253" s="109">
        <f>SAŽETAK!H37</f>
        <v>-843058.91000000108</v>
      </c>
      <c r="F253" s="109">
        <f>SAŽETAK!I37</f>
        <v>-278132.76000000071</v>
      </c>
      <c r="G253" s="109">
        <f>SAŽETAK!J37</f>
        <v>-532539.91000000108</v>
      </c>
      <c r="H253" s="109">
        <f>SAŽETAK!K37</f>
        <v>-379976.31000000145</v>
      </c>
    </row>
  </sheetData>
  <mergeCells count="10">
    <mergeCell ref="A51:C51"/>
    <mergeCell ref="A54:H54"/>
    <mergeCell ref="A56:C56"/>
    <mergeCell ref="A245:C245"/>
    <mergeCell ref="A1:H1"/>
    <mergeCell ref="A2:H3"/>
    <mergeCell ref="A4:H4"/>
    <mergeCell ref="B5:H5"/>
    <mergeCell ref="A7:H7"/>
    <mergeCell ref="A9:C9"/>
  </mergeCells>
  <pageMargins left="0.7" right="0.7" top="0.75" bottom="0.75" header="0.3" footer="0.3"/>
  <pageSetup paperSize="9" scale="47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54"/>
  <sheetViews>
    <sheetView workbookViewId="0">
      <selection activeCell="D8" sqref="D8"/>
    </sheetView>
  </sheetViews>
  <sheetFormatPr defaultRowHeight="15.75" x14ac:dyDescent="0.25"/>
  <cols>
    <col min="1" max="1" width="7.85546875" style="120" customWidth="1"/>
    <col min="2" max="2" width="11.7109375" style="120" customWidth="1"/>
    <col min="3" max="3" width="5.7109375" style="120" customWidth="1"/>
    <col min="4" max="4" width="55" style="120" customWidth="1"/>
    <col min="5" max="5" width="19.140625" style="120" customWidth="1"/>
    <col min="6" max="6" width="20.28515625" style="120" customWidth="1"/>
    <col min="7" max="7" width="17" style="337" bestFit="1" customWidth="1"/>
    <col min="8" max="8" width="19.140625" style="120" customWidth="1"/>
    <col min="9" max="9" width="19.42578125" style="120" customWidth="1"/>
    <col min="10" max="14" width="15.140625" style="120" customWidth="1"/>
    <col min="15" max="15" width="16.7109375" style="120" hidden="1" customWidth="1"/>
    <col min="16" max="16" width="16.42578125" style="120" hidden="1" customWidth="1"/>
    <col min="17" max="17" width="12.5703125" style="120" hidden="1" customWidth="1"/>
    <col min="18" max="19" width="10.7109375" style="120" bestFit="1" customWidth="1"/>
    <col min="20" max="20" width="10.28515625" style="120" bestFit="1" customWidth="1"/>
    <col min="21" max="21" width="11.85546875" style="120" bestFit="1" customWidth="1"/>
    <col min="22" max="22" width="15.42578125" style="120" customWidth="1"/>
    <col min="23" max="258" width="9.140625" style="120"/>
    <col min="259" max="259" width="7" style="120" bestFit="1" customWidth="1"/>
    <col min="260" max="260" width="10" style="120" customWidth="1"/>
    <col min="261" max="261" width="5.28515625" style="120" bestFit="1" customWidth="1"/>
    <col min="262" max="262" width="55" style="120" customWidth="1"/>
    <col min="263" max="263" width="17" style="120" bestFit="1" customWidth="1"/>
    <col min="264" max="264" width="19.140625" style="120" customWidth="1"/>
    <col min="265" max="265" width="19.42578125" style="120" customWidth="1"/>
    <col min="266" max="270" width="15.140625" style="120" customWidth="1"/>
    <col min="271" max="273" width="0" style="120" hidden="1" customWidth="1"/>
    <col min="274" max="275" width="10.7109375" style="120" bestFit="1" customWidth="1"/>
    <col min="276" max="276" width="10.28515625" style="120" bestFit="1" customWidth="1"/>
    <col min="277" max="277" width="11.85546875" style="120" bestFit="1" customWidth="1"/>
    <col min="278" max="278" width="15.42578125" style="120" customWidth="1"/>
    <col min="279" max="514" width="9.140625" style="120"/>
    <col min="515" max="515" width="7" style="120" bestFit="1" customWidth="1"/>
    <col min="516" max="516" width="10" style="120" customWidth="1"/>
    <col min="517" max="517" width="5.28515625" style="120" bestFit="1" customWidth="1"/>
    <col min="518" max="518" width="55" style="120" customWidth="1"/>
    <col min="519" max="519" width="17" style="120" bestFit="1" customWidth="1"/>
    <col min="520" max="520" width="19.140625" style="120" customWidth="1"/>
    <col min="521" max="521" width="19.42578125" style="120" customWidth="1"/>
    <col min="522" max="526" width="15.140625" style="120" customWidth="1"/>
    <col min="527" max="529" width="0" style="120" hidden="1" customWidth="1"/>
    <col min="530" max="531" width="10.7109375" style="120" bestFit="1" customWidth="1"/>
    <col min="532" max="532" width="10.28515625" style="120" bestFit="1" customWidth="1"/>
    <col min="533" max="533" width="11.85546875" style="120" bestFit="1" customWidth="1"/>
    <col min="534" max="534" width="15.42578125" style="120" customWidth="1"/>
    <col min="535" max="770" width="9.140625" style="120"/>
    <col min="771" max="771" width="7" style="120" bestFit="1" customWidth="1"/>
    <col min="772" max="772" width="10" style="120" customWidth="1"/>
    <col min="773" max="773" width="5.28515625" style="120" bestFit="1" customWidth="1"/>
    <col min="774" max="774" width="55" style="120" customWidth="1"/>
    <col min="775" max="775" width="17" style="120" bestFit="1" customWidth="1"/>
    <col min="776" max="776" width="19.140625" style="120" customWidth="1"/>
    <col min="777" max="777" width="19.42578125" style="120" customWidth="1"/>
    <col min="778" max="782" width="15.140625" style="120" customWidth="1"/>
    <col min="783" max="785" width="0" style="120" hidden="1" customWidth="1"/>
    <col min="786" max="787" width="10.7109375" style="120" bestFit="1" customWidth="1"/>
    <col min="788" max="788" width="10.28515625" style="120" bestFit="1" customWidth="1"/>
    <col min="789" max="789" width="11.85546875" style="120" bestFit="1" customWidth="1"/>
    <col min="790" max="790" width="15.42578125" style="120" customWidth="1"/>
    <col min="791" max="1026" width="9.140625" style="120"/>
    <col min="1027" max="1027" width="7" style="120" bestFit="1" customWidth="1"/>
    <col min="1028" max="1028" width="10" style="120" customWidth="1"/>
    <col min="1029" max="1029" width="5.28515625" style="120" bestFit="1" customWidth="1"/>
    <col min="1030" max="1030" width="55" style="120" customWidth="1"/>
    <col min="1031" max="1031" width="17" style="120" bestFit="1" customWidth="1"/>
    <col min="1032" max="1032" width="19.140625" style="120" customWidth="1"/>
    <col min="1033" max="1033" width="19.42578125" style="120" customWidth="1"/>
    <col min="1034" max="1038" width="15.140625" style="120" customWidth="1"/>
    <col min="1039" max="1041" width="0" style="120" hidden="1" customWidth="1"/>
    <col min="1042" max="1043" width="10.7109375" style="120" bestFit="1" customWidth="1"/>
    <col min="1044" max="1044" width="10.28515625" style="120" bestFit="1" customWidth="1"/>
    <col min="1045" max="1045" width="11.85546875" style="120" bestFit="1" customWidth="1"/>
    <col min="1046" max="1046" width="15.42578125" style="120" customWidth="1"/>
    <col min="1047" max="1282" width="9.140625" style="120"/>
    <col min="1283" max="1283" width="7" style="120" bestFit="1" customWidth="1"/>
    <col min="1284" max="1284" width="10" style="120" customWidth="1"/>
    <col min="1285" max="1285" width="5.28515625" style="120" bestFit="1" customWidth="1"/>
    <col min="1286" max="1286" width="55" style="120" customWidth="1"/>
    <col min="1287" max="1287" width="17" style="120" bestFit="1" customWidth="1"/>
    <col min="1288" max="1288" width="19.140625" style="120" customWidth="1"/>
    <col min="1289" max="1289" width="19.42578125" style="120" customWidth="1"/>
    <col min="1290" max="1294" width="15.140625" style="120" customWidth="1"/>
    <col min="1295" max="1297" width="0" style="120" hidden="1" customWidth="1"/>
    <col min="1298" max="1299" width="10.7109375" style="120" bestFit="1" customWidth="1"/>
    <col min="1300" max="1300" width="10.28515625" style="120" bestFit="1" customWidth="1"/>
    <col min="1301" max="1301" width="11.85546875" style="120" bestFit="1" customWidth="1"/>
    <col min="1302" max="1302" width="15.42578125" style="120" customWidth="1"/>
    <col min="1303" max="1538" width="9.140625" style="120"/>
    <col min="1539" max="1539" width="7" style="120" bestFit="1" customWidth="1"/>
    <col min="1540" max="1540" width="10" style="120" customWidth="1"/>
    <col min="1541" max="1541" width="5.28515625" style="120" bestFit="1" customWidth="1"/>
    <col min="1542" max="1542" width="55" style="120" customWidth="1"/>
    <col min="1543" max="1543" width="17" style="120" bestFit="1" customWidth="1"/>
    <col min="1544" max="1544" width="19.140625" style="120" customWidth="1"/>
    <col min="1545" max="1545" width="19.42578125" style="120" customWidth="1"/>
    <col min="1546" max="1550" width="15.140625" style="120" customWidth="1"/>
    <col min="1551" max="1553" width="0" style="120" hidden="1" customWidth="1"/>
    <col min="1554" max="1555" width="10.7109375" style="120" bestFit="1" customWidth="1"/>
    <col min="1556" max="1556" width="10.28515625" style="120" bestFit="1" customWidth="1"/>
    <col min="1557" max="1557" width="11.85546875" style="120" bestFit="1" customWidth="1"/>
    <col min="1558" max="1558" width="15.42578125" style="120" customWidth="1"/>
    <col min="1559" max="1794" width="9.140625" style="120"/>
    <col min="1795" max="1795" width="7" style="120" bestFit="1" customWidth="1"/>
    <col min="1796" max="1796" width="10" style="120" customWidth="1"/>
    <col min="1797" max="1797" width="5.28515625" style="120" bestFit="1" customWidth="1"/>
    <col min="1798" max="1798" width="55" style="120" customWidth="1"/>
    <col min="1799" max="1799" width="17" style="120" bestFit="1" customWidth="1"/>
    <col min="1800" max="1800" width="19.140625" style="120" customWidth="1"/>
    <col min="1801" max="1801" width="19.42578125" style="120" customWidth="1"/>
    <col min="1802" max="1806" width="15.140625" style="120" customWidth="1"/>
    <col min="1807" max="1809" width="0" style="120" hidden="1" customWidth="1"/>
    <col min="1810" max="1811" width="10.7109375" style="120" bestFit="1" customWidth="1"/>
    <col min="1812" max="1812" width="10.28515625" style="120" bestFit="1" customWidth="1"/>
    <col min="1813" max="1813" width="11.85546875" style="120" bestFit="1" customWidth="1"/>
    <col min="1814" max="1814" width="15.42578125" style="120" customWidth="1"/>
    <col min="1815" max="2050" width="9.140625" style="120"/>
    <col min="2051" max="2051" width="7" style="120" bestFit="1" customWidth="1"/>
    <col min="2052" max="2052" width="10" style="120" customWidth="1"/>
    <col min="2053" max="2053" width="5.28515625" style="120" bestFit="1" customWidth="1"/>
    <col min="2054" max="2054" width="55" style="120" customWidth="1"/>
    <col min="2055" max="2055" width="17" style="120" bestFit="1" customWidth="1"/>
    <col min="2056" max="2056" width="19.140625" style="120" customWidth="1"/>
    <col min="2057" max="2057" width="19.42578125" style="120" customWidth="1"/>
    <col min="2058" max="2062" width="15.140625" style="120" customWidth="1"/>
    <col min="2063" max="2065" width="0" style="120" hidden="1" customWidth="1"/>
    <col min="2066" max="2067" width="10.7109375" style="120" bestFit="1" customWidth="1"/>
    <col min="2068" max="2068" width="10.28515625" style="120" bestFit="1" customWidth="1"/>
    <col min="2069" max="2069" width="11.85546875" style="120" bestFit="1" customWidth="1"/>
    <col min="2070" max="2070" width="15.42578125" style="120" customWidth="1"/>
    <col min="2071" max="2306" width="9.140625" style="120"/>
    <col min="2307" max="2307" width="7" style="120" bestFit="1" customWidth="1"/>
    <col min="2308" max="2308" width="10" style="120" customWidth="1"/>
    <col min="2309" max="2309" width="5.28515625" style="120" bestFit="1" customWidth="1"/>
    <col min="2310" max="2310" width="55" style="120" customWidth="1"/>
    <col min="2311" max="2311" width="17" style="120" bestFit="1" customWidth="1"/>
    <col min="2312" max="2312" width="19.140625" style="120" customWidth="1"/>
    <col min="2313" max="2313" width="19.42578125" style="120" customWidth="1"/>
    <col min="2314" max="2318" width="15.140625" style="120" customWidth="1"/>
    <col min="2319" max="2321" width="0" style="120" hidden="1" customWidth="1"/>
    <col min="2322" max="2323" width="10.7109375" style="120" bestFit="1" customWidth="1"/>
    <col min="2324" max="2324" width="10.28515625" style="120" bestFit="1" customWidth="1"/>
    <col min="2325" max="2325" width="11.85546875" style="120" bestFit="1" customWidth="1"/>
    <col min="2326" max="2326" width="15.42578125" style="120" customWidth="1"/>
    <col min="2327" max="2562" width="9.140625" style="120"/>
    <col min="2563" max="2563" width="7" style="120" bestFit="1" customWidth="1"/>
    <col min="2564" max="2564" width="10" style="120" customWidth="1"/>
    <col min="2565" max="2565" width="5.28515625" style="120" bestFit="1" customWidth="1"/>
    <col min="2566" max="2566" width="55" style="120" customWidth="1"/>
    <col min="2567" max="2567" width="17" style="120" bestFit="1" customWidth="1"/>
    <col min="2568" max="2568" width="19.140625" style="120" customWidth="1"/>
    <col min="2569" max="2569" width="19.42578125" style="120" customWidth="1"/>
    <col min="2570" max="2574" width="15.140625" style="120" customWidth="1"/>
    <col min="2575" max="2577" width="0" style="120" hidden="1" customWidth="1"/>
    <col min="2578" max="2579" width="10.7109375" style="120" bestFit="1" customWidth="1"/>
    <col min="2580" max="2580" width="10.28515625" style="120" bestFit="1" customWidth="1"/>
    <col min="2581" max="2581" width="11.85546875" style="120" bestFit="1" customWidth="1"/>
    <col min="2582" max="2582" width="15.42578125" style="120" customWidth="1"/>
    <col min="2583" max="2818" width="9.140625" style="120"/>
    <col min="2819" max="2819" width="7" style="120" bestFit="1" customWidth="1"/>
    <col min="2820" max="2820" width="10" style="120" customWidth="1"/>
    <col min="2821" max="2821" width="5.28515625" style="120" bestFit="1" customWidth="1"/>
    <col min="2822" max="2822" width="55" style="120" customWidth="1"/>
    <col min="2823" max="2823" width="17" style="120" bestFit="1" customWidth="1"/>
    <col min="2824" max="2824" width="19.140625" style="120" customWidth="1"/>
    <col min="2825" max="2825" width="19.42578125" style="120" customWidth="1"/>
    <col min="2826" max="2830" width="15.140625" style="120" customWidth="1"/>
    <col min="2831" max="2833" width="0" style="120" hidden="1" customWidth="1"/>
    <col min="2834" max="2835" width="10.7109375" style="120" bestFit="1" customWidth="1"/>
    <col min="2836" max="2836" width="10.28515625" style="120" bestFit="1" customWidth="1"/>
    <col min="2837" max="2837" width="11.85546875" style="120" bestFit="1" customWidth="1"/>
    <col min="2838" max="2838" width="15.42578125" style="120" customWidth="1"/>
    <col min="2839" max="3074" width="9.140625" style="120"/>
    <col min="3075" max="3075" width="7" style="120" bestFit="1" customWidth="1"/>
    <col min="3076" max="3076" width="10" style="120" customWidth="1"/>
    <col min="3077" max="3077" width="5.28515625" style="120" bestFit="1" customWidth="1"/>
    <col min="3078" max="3078" width="55" style="120" customWidth="1"/>
    <col min="3079" max="3079" width="17" style="120" bestFit="1" customWidth="1"/>
    <col min="3080" max="3080" width="19.140625" style="120" customWidth="1"/>
    <col min="3081" max="3081" width="19.42578125" style="120" customWidth="1"/>
    <col min="3082" max="3086" width="15.140625" style="120" customWidth="1"/>
    <col min="3087" max="3089" width="0" style="120" hidden="1" customWidth="1"/>
    <col min="3090" max="3091" width="10.7109375" style="120" bestFit="1" customWidth="1"/>
    <col min="3092" max="3092" width="10.28515625" style="120" bestFit="1" customWidth="1"/>
    <col min="3093" max="3093" width="11.85546875" style="120" bestFit="1" customWidth="1"/>
    <col min="3094" max="3094" width="15.42578125" style="120" customWidth="1"/>
    <col min="3095" max="3330" width="9.140625" style="120"/>
    <col min="3331" max="3331" width="7" style="120" bestFit="1" customWidth="1"/>
    <col min="3332" max="3332" width="10" style="120" customWidth="1"/>
    <col min="3333" max="3333" width="5.28515625" style="120" bestFit="1" customWidth="1"/>
    <col min="3334" max="3334" width="55" style="120" customWidth="1"/>
    <col min="3335" max="3335" width="17" style="120" bestFit="1" customWidth="1"/>
    <col min="3336" max="3336" width="19.140625" style="120" customWidth="1"/>
    <col min="3337" max="3337" width="19.42578125" style="120" customWidth="1"/>
    <col min="3338" max="3342" width="15.140625" style="120" customWidth="1"/>
    <col min="3343" max="3345" width="0" style="120" hidden="1" customWidth="1"/>
    <col min="3346" max="3347" width="10.7109375" style="120" bestFit="1" customWidth="1"/>
    <col min="3348" max="3348" width="10.28515625" style="120" bestFit="1" customWidth="1"/>
    <col min="3349" max="3349" width="11.85546875" style="120" bestFit="1" customWidth="1"/>
    <col min="3350" max="3350" width="15.42578125" style="120" customWidth="1"/>
    <col min="3351" max="3586" width="9.140625" style="120"/>
    <col min="3587" max="3587" width="7" style="120" bestFit="1" customWidth="1"/>
    <col min="3588" max="3588" width="10" style="120" customWidth="1"/>
    <col min="3589" max="3589" width="5.28515625" style="120" bestFit="1" customWidth="1"/>
    <col min="3590" max="3590" width="55" style="120" customWidth="1"/>
    <col min="3591" max="3591" width="17" style="120" bestFit="1" customWidth="1"/>
    <col min="3592" max="3592" width="19.140625" style="120" customWidth="1"/>
    <col min="3593" max="3593" width="19.42578125" style="120" customWidth="1"/>
    <col min="3594" max="3598" width="15.140625" style="120" customWidth="1"/>
    <col min="3599" max="3601" width="0" style="120" hidden="1" customWidth="1"/>
    <col min="3602" max="3603" width="10.7109375" style="120" bestFit="1" customWidth="1"/>
    <col min="3604" max="3604" width="10.28515625" style="120" bestFit="1" customWidth="1"/>
    <col min="3605" max="3605" width="11.85546875" style="120" bestFit="1" customWidth="1"/>
    <col min="3606" max="3606" width="15.42578125" style="120" customWidth="1"/>
    <col min="3607" max="3842" width="9.140625" style="120"/>
    <col min="3843" max="3843" width="7" style="120" bestFit="1" customWidth="1"/>
    <col min="3844" max="3844" width="10" style="120" customWidth="1"/>
    <col min="3845" max="3845" width="5.28515625" style="120" bestFit="1" customWidth="1"/>
    <col min="3846" max="3846" width="55" style="120" customWidth="1"/>
    <col min="3847" max="3847" width="17" style="120" bestFit="1" customWidth="1"/>
    <col min="3848" max="3848" width="19.140625" style="120" customWidth="1"/>
    <col min="3849" max="3849" width="19.42578125" style="120" customWidth="1"/>
    <col min="3850" max="3854" width="15.140625" style="120" customWidth="1"/>
    <col min="3855" max="3857" width="0" style="120" hidden="1" customWidth="1"/>
    <col min="3858" max="3859" width="10.7109375" style="120" bestFit="1" customWidth="1"/>
    <col min="3860" max="3860" width="10.28515625" style="120" bestFit="1" customWidth="1"/>
    <col min="3861" max="3861" width="11.85546875" style="120" bestFit="1" customWidth="1"/>
    <col min="3862" max="3862" width="15.42578125" style="120" customWidth="1"/>
    <col min="3863" max="4098" width="9.140625" style="120"/>
    <col min="4099" max="4099" width="7" style="120" bestFit="1" customWidth="1"/>
    <col min="4100" max="4100" width="10" style="120" customWidth="1"/>
    <col min="4101" max="4101" width="5.28515625" style="120" bestFit="1" customWidth="1"/>
    <col min="4102" max="4102" width="55" style="120" customWidth="1"/>
    <col min="4103" max="4103" width="17" style="120" bestFit="1" customWidth="1"/>
    <col min="4104" max="4104" width="19.140625" style="120" customWidth="1"/>
    <col min="4105" max="4105" width="19.42578125" style="120" customWidth="1"/>
    <col min="4106" max="4110" width="15.140625" style="120" customWidth="1"/>
    <col min="4111" max="4113" width="0" style="120" hidden="1" customWidth="1"/>
    <col min="4114" max="4115" width="10.7109375" style="120" bestFit="1" customWidth="1"/>
    <col min="4116" max="4116" width="10.28515625" style="120" bestFit="1" customWidth="1"/>
    <col min="4117" max="4117" width="11.85546875" style="120" bestFit="1" customWidth="1"/>
    <col min="4118" max="4118" width="15.42578125" style="120" customWidth="1"/>
    <col min="4119" max="4354" width="9.140625" style="120"/>
    <col min="4355" max="4355" width="7" style="120" bestFit="1" customWidth="1"/>
    <col min="4356" max="4356" width="10" style="120" customWidth="1"/>
    <col min="4357" max="4357" width="5.28515625" style="120" bestFit="1" customWidth="1"/>
    <col min="4358" max="4358" width="55" style="120" customWidth="1"/>
    <col min="4359" max="4359" width="17" style="120" bestFit="1" customWidth="1"/>
    <col min="4360" max="4360" width="19.140625" style="120" customWidth="1"/>
    <col min="4361" max="4361" width="19.42578125" style="120" customWidth="1"/>
    <col min="4362" max="4366" width="15.140625" style="120" customWidth="1"/>
    <col min="4367" max="4369" width="0" style="120" hidden="1" customWidth="1"/>
    <col min="4370" max="4371" width="10.7109375" style="120" bestFit="1" customWidth="1"/>
    <col min="4372" max="4372" width="10.28515625" style="120" bestFit="1" customWidth="1"/>
    <col min="4373" max="4373" width="11.85546875" style="120" bestFit="1" customWidth="1"/>
    <col min="4374" max="4374" width="15.42578125" style="120" customWidth="1"/>
    <col min="4375" max="4610" width="9.140625" style="120"/>
    <col min="4611" max="4611" width="7" style="120" bestFit="1" customWidth="1"/>
    <col min="4612" max="4612" width="10" style="120" customWidth="1"/>
    <col min="4613" max="4613" width="5.28515625" style="120" bestFit="1" customWidth="1"/>
    <col min="4614" max="4614" width="55" style="120" customWidth="1"/>
    <col min="4615" max="4615" width="17" style="120" bestFit="1" customWidth="1"/>
    <col min="4616" max="4616" width="19.140625" style="120" customWidth="1"/>
    <col min="4617" max="4617" width="19.42578125" style="120" customWidth="1"/>
    <col min="4618" max="4622" width="15.140625" style="120" customWidth="1"/>
    <col min="4623" max="4625" width="0" style="120" hidden="1" customWidth="1"/>
    <col min="4626" max="4627" width="10.7109375" style="120" bestFit="1" customWidth="1"/>
    <col min="4628" max="4628" width="10.28515625" style="120" bestFit="1" customWidth="1"/>
    <col min="4629" max="4629" width="11.85546875" style="120" bestFit="1" customWidth="1"/>
    <col min="4630" max="4630" width="15.42578125" style="120" customWidth="1"/>
    <col min="4631" max="4866" width="9.140625" style="120"/>
    <col min="4867" max="4867" width="7" style="120" bestFit="1" customWidth="1"/>
    <col min="4868" max="4868" width="10" style="120" customWidth="1"/>
    <col min="4869" max="4869" width="5.28515625" style="120" bestFit="1" customWidth="1"/>
    <col min="4870" max="4870" width="55" style="120" customWidth="1"/>
    <col min="4871" max="4871" width="17" style="120" bestFit="1" customWidth="1"/>
    <col min="4872" max="4872" width="19.140625" style="120" customWidth="1"/>
    <col min="4873" max="4873" width="19.42578125" style="120" customWidth="1"/>
    <col min="4874" max="4878" width="15.140625" style="120" customWidth="1"/>
    <col min="4879" max="4881" width="0" style="120" hidden="1" customWidth="1"/>
    <col min="4882" max="4883" width="10.7109375" style="120" bestFit="1" customWidth="1"/>
    <col min="4884" max="4884" width="10.28515625" style="120" bestFit="1" customWidth="1"/>
    <col min="4885" max="4885" width="11.85546875" style="120" bestFit="1" customWidth="1"/>
    <col min="4886" max="4886" width="15.42578125" style="120" customWidth="1"/>
    <col min="4887" max="5122" width="9.140625" style="120"/>
    <col min="5123" max="5123" width="7" style="120" bestFit="1" customWidth="1"/>
    <col min="5124" max="5124" width="10" style="120" customWidth="1"/>
    <col min="5125" max="5125" width="5.28515625" style="120" bestFit="1" customWidth="1"/>
    <col min="5126" max="5126" width="55" style="120" customWidth="1"/>
    <col min="5127" max="5127" width="17" style="120" bestFit="1" customWidth="1"/>
    <col min="5128" max="5128" width="19.140625" style="120" customWidth="1"/>
    <col min="5129" max="5129" width="19.42578125" style="120" customWidth="1"/>
    <col min="5130" max="5134" width="15.140625" style="120" customWidth="1"/>
    <col min="5135" max="5137" width="0" style="120" hidden="1" customWidth="1"/>
    <col min="5138" max="5139" width="10.7109375" style="120" bestFit="1" customWidth="1"/>
    <col min="5140" max="5140" width="10.28515625" style="120" bestFit="1" customWidth="1"/>
    <col min="5141" max="5141" width="11.85546875" style="120" bestFit="1" customWidth="1"/>
    <col min="5142" max="5142" width="15.42578125" style="120" customWidth="1"/>
    <col min="5143" max="5378" width="9.140625" style="120"/>
    <col min="5379" max="5379" width="7" style="120" bestFit="1" customWidth="1"/>
    <col min="5380" max="5380" width="10" style="120" customWidth="1"/>
    <col min="5381" max="5381" width="5.28515625" style="120" bestFit="1" customWidth="1"/>
    <col min="5382" max="5382" width="55" style="120" customWidth="1"/>
    <col min="5383" max="5383" width="17" style="120" bestFit="1" customWidth="1"/>
    <col min="5384" max="5384" width="19.140625" style="120" customWidth="1"/>
    <col min="5385" max="5385" width="19.42578125" style="120" customWidth="1"/>
    <col min="5386" max="5390" width="15.140625" style="120" customWidth="1"/>
    <col min="5391" max="5393" width="0" style="120" hidden="1" customWidth="1"/>
    <col min="5394" max="5395" width="10.7109375" style="120" bestFit="1" customWidth="1"/>
    <col min="5396" max="5396" width="10.28515625" style="120" bestFit="1" customWidth="1"/>
    <col min="5397" max="5397" width="11.85546875" style="120" bestFit="1" customWidth="1"/>
    <col min="5398" max="5398" width="15.42578125" style="120" customWidth="1"/>
    <col min="5399" max="5634" width="9.140625" style="120"/>
    <col min="5635" max="5635" width="7" style="120" bestFit="1" customWidth="1"/>
    <col min="5636" max="5636" width="10" style="120" customWidth="1"/>
    <col min="5637" max="5637" width="5.28515625" style="120" bestFit="1" customWidth="1"/>
    <col min="5638" max="5638" width="55" style="120" customWidth="1"/>
    <col min="5639" max="5639" width="17" style="120" bestFit="1" customWidth="1"/>
    <col min="5640" max="5640" width="19.140625" style="120" customWidth="1"/>
    <col min="5641" max="5641" width="19.42578125" style="120" customWidth="1"/>
    <col min="5642" max="5646" width="15.140625" style="120" customWidth="1"/>
    <col min="5647" max="5649" width="0" style="120" hidden="1" customWidth="1"/>
    <col min="5650" max="5651" width="10.7109375" style="120" bestFit="1" customWidth="1"/>
    <col min="5652" max="5652" width="10.28515625" style="120" bestFit="1" customWidth="1"/>
    <col min="5653" max="5653" width="11.85546875" style="120" bestFit="1" customWidth="1"/>
    <col min="5654" max="5654" width="15.42578125" style="120" customWidth="1"/>
    <col min="5655" max="5890" width="9.140625" style="120"/>
    <col min="5891" max="5891" width="7" style="120" bestFit="1" customWidth="1"/>
    <col min="5892" max="5892" width="10" style="120" customWidth="1"/>
    <col min="5893" max="5893" width="5.28515625" style="120" bestFit="1" customWidth="1"/>
    <col min="5894" max="5894" width="55" style="120" customWidth="1"/>
    <col min="5895" max="5895" width="17" style="120" bestFit="1" customWidth="1"/>
    <col min="5896" max="5896" width="19.140625" style="120" customWidth="1"/>
    <col min="5897" max="5897" width="19.42578125" style="120" customWidth="1"/>
    <col min="5898" max="5902" width="15.140625" style="120" customWidth="1"/>
    <col min="5903" max="5905" width="0" style="120" hidden="1" customWidth="1"/>
    <col min="5906" max="5907" width="10.7109375" style="120" bestFit="1" customWidth="1"/>
    <col min="5908" max="5908" width="10.28515625" style="120" bestFit="1" customWidth="1"/>
    <col min="5909" max="5909" width="11.85546875" style="120" bestFit="1" customWidth="1"/>
    <col min="5910" max="5910" width="15.42578125" style="120" customWidth="1"/>
    <col min="5911" max="6146" width="9.140625" style="120"/>
    <col min="6147" max="6147" width="7" style="120" bestFit="1" customWidth="1"/>
    <col min="6148" max="6148" width="10" style="120" customWidth="1"/>
    <col min="6149" max="6149" width="5.28515625" style="120" bestFit="1" customWidth="1"/>
    <col min="6150" max="6150" width="55" style="120" customWidth="1"/>
    <col min="6151" max="6151" width="17" style="120" bestFit="1" customWidth="1"/>
    <col min="6152" max="6152" width="19.140625" style="120" customWidth="1"/>
    <col min="6153" max="6153" width="19.42578125" style="120" customWidth="1"/>
    <col min="6154" max="6158" width="15.140625" style="120" customWidth="1"/>
    <col min="6159" max="6161" width="0" style="120" hidden="1" customWidth="1"/>
    <col min="6162" max="6163" width="10.7109375" style="120" bestFit="1" customWidth="1"/>
    <col min="6164" max="6164" width="10.28515625" style="120" bestFit="1" customWidth="1"/>
    <col min="6165" max="6165" width="11.85546875" style="120" bestFit="1" customWidth="1"/>
    <col min="6166" max="6166" width="15.42578125" style="120" customWidth="1"/>
    <col min="6167" max="6402" width="9.140625" style="120"/>
    <col min="6403" max="6403" width="7" style="120" bestFit="1" customWidth="1"/>
    <col min="6404" max="6404" width="10" style="120" customWidth="1"/>
    <col min="6405" max="6405" width="5.28515625" style="120" bestFit="1" customWidth="1"/>
    <col min="6406" max="6406" width="55" style="120" customWidth="1"/>
    <col min="6407" max="6407" width="17" style="120" bestFit="1" customWidth="1"/>
    <col min="6408" max="6408" width="19.140625" style="120" customWidth="1"/>
    <col min="6409" max="6409" width="19.42578125" style="120" customWidth="1"/>
    <col min="6410" max="6414" width="15.140625" style="120" customWidth="1"/>
    <col min="6415" max="6417" width="0" style="120" hidden="1" customWidth="1"/>
    <col min="6418" max="6419" width="10.7109375" style="120" bestFit="1" customWidth="1"/>
    <col min="6420" max="6420" width="10.28515625" style="120" bestFit="1" customWidth="1"/>
    <col min="6421" max="6421" width="11.85546875" style="120" bestFit="1" customWidth="1"/>
    <col min="6422" max="6422" width="15.42578125" style="120" customWidth="1"/>
    <col min="6423" max="6658" width="9.140625" style="120"/>
    <col min="6659" max="6659" width="7" style="120" bestFit="1" customWidth="1"/>
    <col min="6660" max="6660" width="10" style="120" customWidth="1"/>
    <col min="6661" max="6661" width="5.28515625" style="120" bestFit="1" customWidth="1"/>
    <col min="6662" max="6662" width="55" style="120" customWidth="1"/>
    <col min="6663" max="6663" width="17" style="120" bestFit="1" customWidth="1"/>
    <col min="6664" max="6664" width="19.140625" style="120" customWidth="1"/>
    <col min="6665" max="6665" width="19.42578125" style="120" customWidth="1"/>
    <col min="6666" max="6670" width="15.140625" style="120" customWidth="1"/>
    <col min="6671" max="6673" width="0" style="120" hidden="1" customWidth="1"/>
    <col min="6674" max="6675" width="10.7109375" style="120" bestFit="1" customWidth="1"/>
    <col min="6676" max="6676" width="10.28515625" style="120" bestFit="1" customWidth="1"/>
    <col min="6677" max="6677" width="11.85546875" style="120" bestFit="1" customWidth="1"/>
    <col min="6678" max="6678" width="15.42578125" style="120" customWidth="1"/>
    <col min="6679" max="6914" width="9.140625" style="120"/>
    <col min="6915" max="6915" width="7" style="120" bestFit="1" customWidth="1"/>
    <col min="6916" max="6916" width="10" style="120" customWidth="1"/>
    <col min="6917" max="6917" width="5.28515625" style="120" bestFit="1" customWidth="1"/>
    <col min="6918" max="6918" width="55" style="120" customWidth="1"/>
    <col min="6919" max="6919" width="17" style="120" bestFit="1" customWidth="1"/>
    <col min="6920" max="6920" width="19.140625" style="120" customWidth="1"/>
    <col min="6921" max="6921" width="19.42578125" style="120" customWidth="1"/>
    <col min="6922" max="6926" width="15.140625" style="120" customWidth="1"/>
    <col min="6927" max="6929" width="0" style="120" hidden="1" customWidth="1"/>
    <col min="6930" max="6931" width="10.7109375" style="120" bestFit="1" customWidth="1"/>
    <col min="6932" max="6932" width="10.28515625" style="120" bestFit="1" customWidth="1"/>
    <col min="6933" max="6933" width="11.85546875" style="120" bestFit="1" customWidth="1"/>
    <col min="6934" max="6934" width="15.42578125" style="120" customWidth="1"/>
    <col min="6935" max="7170" width="9.140625" style="120"/>
    <col min="7171" max="7171" width="7" style="120" bestFit="1" customWidth="1"/>
    <col min="7172" max="7172" width="10" style="120" customWidth="1"/>
    <col min="7173" max="7173" width="5.28515625" style="120" bestFit="1" customWidth="1"/>
    <col min="7174" max="7174" width="55" style="120" customWidth="1"/>
    <col min="7175" max="7175" width="17" style="120" bestFit="1" customWidth="1"/>
    <col min="7176" max="7176" width="19.140625" style="120" customWidth="1"/>
    <col min="7177" max="7177" width="19.42578125" style="120" customWidth="1"/>
    <col min="7178" max="7182" width="15.140625" style="120" customWidth="1"/>
    <col min="7183" max="7185" width="0" style="120" hidden="1" customWidth="1"/>
    <col min="7186" max="7187" width="10.7109375" style="120" bestFit="1" customWidth="1"/>
    <col min="7188" max="7188" width="10.28515625" style="120" bestFit="1" customWidth="1"/>
    <col min="7189" max="7189" width="11.85546875" style="120" bestFit="1" customWidth="1"/>
    <col min="7190" max="7190" width="15.42578125" style="120" customWidth="1"/>
    <col min="7191" max="7426" width="9.140625" style="120"/>
    <col min="7427" max="7427" width="7" style="120" bestFit="1" customWidth="1"/>
    <col min="7428" max="7428" width="10" style="120" customWidth="1"/>
    <col min="7429" max="7429" width="5.28515625" style="120" bestFit="1" customWidth="1"/>
    <col min="7430" max="7430" width="55" style="120" customWidth="1"/>
    <col min="7431" max="7431" width="17" style="120" bestFit="1" customWidth="1"/>
    <col min="7432" max="7432" width="19.140625" style="120" customWidth="1"/>
    <col min="7433" max="7433" width="19.42578125" style="120" customWidth="1"/>
    <col min="7434" max="7438" width="15.140625" style="120" customWidth="1"/>
    <col min="7439" max="7441" width="0" style="120" hidden="1" customWidth="1"/>
    <col min="7442" max="7443" width="10.7109375" style="120" bestFit="1" customWidth="1"/>
    <col min="7444" max="7444" width="10.28515625" style="120" bestFit="1" customWidth="1"/>
    <col min="7445" max="7445" width="11.85546875" style="120" bestFit="1" customWidth="1"/>
    <col min="7446" max="7446" width="15.42578125" style="120" customWidth="1"/>
    <col min="7447" max="7682" width="9.140625" style="120"/>
    <col min="7683" max="7683" width="7" style="120" bestFit="1" customWidth="1"/>
    <col min="7684" max="7684" width="10" style="120" customWidth="1"/>
    <col min="7685" max="7685" width="5.28515625" style="120" bestFit="1" customWidth="1"/>
    <col min="7686" max="7686" width="55" style="120" customWidth="1"/>
    <col min="7687" max="7687" width="17" style="120" bestFit="1" customWidth="1"/>
    <col min="7688" max="7688" width="19.140625" style="120" customWidth="1"/>
    <col min="7689" max="7689" width="19.42578125" style="120" customWidth="1"/>
    <col min="7690" max="7694" width="15.140625" style="120" customWidth="1"/>
    <col min="7695" max="7697" width="0" style="120" hidden="1" customWidth="1"/>
    <col min="7698" max="7699" width="10.7109375" style="120" bestFit="1" customWidth="1"/>
    <col min="7700" max="7700" width="10.28515625" style="120" bestFit="1" customWidth="1"/>
    <col min="7701" max="7701" width="11.85546875" style="120" bestFit="1" customWidth="1"/>
    <col min="7702" max="7702" width="15.42578125" style="120" customWidth="1"/>
    <col min="7703" max="7938" width="9.140625" style="120"/>
    <col min="7939" max="7939" width="7" style="120" bestFit="1" customWidth="1"/>
    <col min="7940" max="7940" width="10" style="120" customWidth="1"/>
    <col min="7941" max="7941" width="5.28515625" style="120" bestFit="1" customWidth="1"/>
    <col min="7942" max="7942" width="55" style="120" customWidth="1"/>
    <col min="7943" max="7943" width="17" style="120" bestFit="1" customWidth="1"/>
    <col min="7944" max="7944" width="19.140625" style="120" customWidth="1"/>
    <col min="7945" max="7945" width="19.42578125" style="120" customWidth="1"/>
    <col min="7946" max="7950" width="15.140625" style="120" customWidth="1"/>
    <col min="7951" max="7953" width="0" style="120" hidden="1" customWidth="1"/>
    <col min="7954" max="7955" width="10.7109375" style="120" bestFit="1" customWidth="1"/>
    <col min="7956" max="7956" width="10.28515625" style="120" bestFit="1" customWidth="1"/>
    <col min="7957" max="7957" width="11.85546875" style="120" bestFit="1" customWidth="1"/>
    <col min="7958" max="7958" width="15.42578125" style="120" customWidth="1"/>
    <col min="7959" max="8194" width="9.140625" style="120"/>
    <col min="8195" max="8195" width="7" style="120" bestFit="1" customWidth="1"/>
    <col min="8196" max="8196" width="10" style="120" customWidth="1"/>
    <col min="8197" max="8197" width="5.28515625" style="120" bestFit="1" customWidth="1"/>
    <col min="8198" max="8198" width="55" style="120" customWidth="1"/>
    <col min="8199" max="8199" width="17" style="120" bestFit="1" customWidth="1"/>
    <col min="8200" max="8200" width="19.140625" style="120" customWidth="1"/>
    <col min="8201" max="8201" width="19.42578125" style="120" customWidth="1"/>
    <col min="8202" max="8206" width="15.140625" style="120" customWidth="1"/>
    <col min="8207" max="8209" width="0" style="120" hidden="1" customWidth="1"/>
    <col min="8210" max="8211" width="10.7109375" style="120" bestFit="1" customWidth="1"/>
    <col min="8212" max="8212" width="10.28515625" style="120" bestFit="1" customWidth="1"/>
    <col min="8213" max="8213" width="11.85546875" style="120" bestFit="1" customWidth="1"/>
    <col min="8214" max="8214" width="15.42578125" style="120" customWidth="1"/>
    <col min="8215" max="8450" width="9.140625" style="120"/>
    <col min="8451" max="8451" width="7" style="120" bestFit="1" customWidth="1"/>
    <col min="8452" max="8452" width="10" style="120" customWidth="1"/>
    <col min="8453" max="8453" width="5.28515625" style="120" bestFit="1" customWidth="1"/>
    <col min="8454" max="8454" width="55" style="120" customWidth="1"/>
    <col min="8455" max="8455" width="17" style="120" bestFit="1" customWidth="1"/>
    <col min="8456" max="8456" width="19.140625" style="120" customWidth="1"/>
    <col min="8457" max="8457" width="19.42578125" style="120" customWidth="1"/>
    <col min="8458" max="8462" width="15.140625" style="120" customWidth="1"/>
    <col min="8463" max="8465" width="0" style="120" hidden="1" customWidth="1"/>
    <col min="8466" max="8467" width="10.7109375" style="120" bestFit="1" customWidth="1"/>
    <col min="8468" max="8468" width="10.28515625" style="120" bestFit="1" customWidth="1"/>
    <col min="8469" max="8469" width="11.85546875" style="120" bestFit="1" customWidth="1"/>
    <col min="8470" max="8470" width="15.42578125" style="120" customWidth="1"/>
    <col min="8471" max="8706" width="9.140625" style="120"/>
    <col min="8707" max="8707" width="7" style="120" bestFit="1" customWidth="1"/>
    <col min="8708" max="8708" width="10" style="120" customWidth="1"/>
    <col min="8709" max="8709" width="5.28515625" style="120" bestFit="1" customWidth="1"/>
    <col min="8710" max="8710" width="55" style="120" customWidth="1"/>
    <col min="8711" max="8711" width="17" style="120" bestFit="1" customWidth="1"/>
    <col min="8712" max="8712" width="19.140625" style="120" customWidth="1"/>
    <col min="8713" max="8713" width="19.42578125" style="120" customWidth="1"/>
    <col min="8714" max="8718" width="15.140625" style="120" customWidth="1"/>
    <col min="8719" max="8721" width="0" style="120" hidden="1" customWidth="1"/>
    <col min="8722" max="8723" width="10.7109375" style="120" bestFit="1" customWidth="1"/>
    <col min="8724" max="8724" width="10.28515625" style="120" bestFit="1" customWidth="1"/>
    <col min="8725" max="8725" width="11.85546875" style="120" bestFit="1" customWidth="1"/>
    <col min="8726" max="8726" width="15.42578125" style="120" customWidth="1"/>
    <col min="8727" max="8962" width="9.140625" style="120"/>
    <col min="8963" max="8963" width="7" style="120" bestFit="1" customWidth="1"/>
    <col min="8964" max="8964" width="10" style="120" customWidth="1"/>
    <col min="8965" max="8965" width="5.28515625" style="120" bestFit="1" customWidth="1"/>
    <col min="8966" max="8966" width="55" style="120" customWidth="1"/>
    <col min="8967" max="8967" width="17" style="120" bestFit="1" customWidth="1"/>
    <col min="8968" max="8968" width="19.140625" style="120" customWidth="1"/>
    <col min="8969" max="8969" width="19.42578125" style="120" customWidth="1"/>
    <col min="8970" max="8974" width="15.140625" style="120" customWidth="1"/>
    <col min="8975" max="8977" width="0" style="120" hidden="1" customWidth="1"/>
    <col min="8978" max="8979" width="10.7109375" style="120" bestFit="1" customWidth="1"/>
    <col min="8980" max="8980" width="10.28515625" style="120" bestFit="1" customWidth="1"/>
    <col min="8981" max="8981" width="11.85546875" style="120" bestFit="1" customWidth="1"/>
    <col min="8982" max="8982" width="15.42578125" style="120" customWidth="1"/>
    <col min="8983" max="9218" width="9.140625" style="120"/>
    <col min="9219" max="9219" width="7" style="120" bestFit="1" customWidth="1"/>
    <col min="9220" max="9220" width="10" style="120" customWidth="1"/>
    <col min="9221" max="9221" width="5.28515625" style="120" bestFit="1" customWidth="1"/>
    <col min="9222" max="9222" width="55" style="120" customWidth="1"/>
    <col min="9223" max="9223" width="17" style="120" bestFit="1" customWidth="1"/>
    <col min="9224" max="9224" width="19.140625" style="120" customWidth="1"/>
    <col min="9225" max="9225" width="19.42578125" style="120" customWidth="1"/>
    <col min="9226" max="9230" width="15.140625" style="120" customWidth="1"/>
    <col min="9231" max="9233" width="0" style="120" hidden="1" customWidth="1"/>
    <col min="9234" max="9235" width="10.7109375" style="120" bestFit="1" customWidth="1"/>
    <col min="9236" max="9236" width="10.28515625" style="120" bestFit="1" customWidth="1"/>
    <col min="9237" max="9237" width="11.85546875" style="120" bestFit="1" customWidth="1"/>
    <col min="9238" max="9238" width="15.42578125" style="120" customWidth="1"/>
    <col min="9239" max="9474" width="9.140625" style="120"/>
    <col min="9475" max="9475" width="7" style="120" bestFit="1" customWidth="1"/>
    <col min="9476" max="9476" width="10" style="120" customWidth="1"/>
    <col min="9477" max="9477" width="5.28515625" style="120" bestFit="1" customWidth="1"/>
    <col min="9478" max="9478" width="55" style="120" customWidth="1"/>
    <col min="9479" max="9479" width="17" style="120" bestFit="1" customWidth="1"/>
    <col min="9480" max="9480" width="19.140625" style="120" customWidth="1"/>
    <col min="9481" max="9481" width="19.42578125" style="120" customWidth="1"/>
    <col min="9482" max="9486" width="15.140625" style="120" customWidth="1"/>
    <col min="9487" max="9489" width="0" style="120" hidden="1" customWidth="1"/>
    <col min="9490" max="9491" width="10.7109375" style="120" bestFit="1" customWidth="1"/>
    <col min="9492" max="9492" width="10.28515625" style="120" bestFit="1" customWidth="1"/>
    <col min="9493" max="9493" width="11.85546875" style="120" bestFit="1" customWidth="1"/>
    <col min="9494" max="9494" width="15.42578125" style="120" customWidth="1"/>
    <col min="9495" max="9730" width="9.140625" style="120"/>
    <col min="9731" max="9731" width="7" style="120" bestFit="1" customWidth="1"/>
    <col min="9732" max="9732" width="10" style="120" customWidth="1"/>
    <col min="9733" max="9733" width="5.28515625" style="120" bestFit="1" customWidth="1"/>
    <col min="9734" max="9734" width="55" style="120" customWidth="1"/>
    <col min="9735" max="9735" width="17" style="120" bestFit="1" customWidth="1"/>
    <col min="9736" max="9736" width="19.140625" style="120" customWidth="1"/>
    <col min="9737" max="9737" width="19.42578125" style="120" customWidth="1"/>
    <col min="9738" max="9742" width="15.140625" style="120" customWidth="1"/>
    <col min="9743" max="9745" width="0" style="120" hidden="1" customWidth="1"/>
    <col min="9746" max="9747" width="10.7109375" style="120" bestFit="1" customWidth="1"/>
    <col min="9748" max="9748" width="10.28515625" style="120" bestFit="1" customWidth="1"/>
    <col min="9749" max="9749" width="11.85546875" style="120" bestFit="1" customWidth="1"/>
    <col min="9750" max="9750" width="15.42578125" style="120" customWidth="1"/>
    <col min="9751" max="9986" width="9.140625" style="120"/>
    <col min="9987" max="9987" width="7" style="120" bestFit="1" customWidth="1"/>
    <col min="9988" max="9988" width="10" style="120" customWidth="1"/>
    <col min="9989" max="9989" width="5.28515625" style="120" bestFit="1" customWidth="1"/>
    <col min="9990" max="9990" width="55" style="120" customWidth="1"/>
    <col min="9991" max="9991" width="17" style="120" bestFit="1" customWidth="1"/>
    <col min="9992" max="9992" width="19.140625" style="120" customWidth="1"/>
    <col min="9993" max="9993" width="19.42578125" style="120" customWidth="1"/>
    <col min="9994" max="9998" width="15.140625" style="120" customWidth="1"/>
    <col min="9999" max="10001" width="0" style="120" hidden="1" customWidth="1"/>
    <col min="10002" max="10003" width="10.7109375" style="120" bestFit="1" customWidth="1"/>
    <col min="10004" max="10004" width="10.28515625" style="120" bestFit="1" customWidth="1"/>
    <col min="10005" max="10005" width="11.85546875" style="120" bestFit="1" customWidth="1"/>
    <col min="10006" max="10006" width="15.42578125" style="120" customWidth="1"/>
    <col min="10007" max="10242" width="9.140625" style="120"/>
    <col min="10243" max="10243" width="7" style="120" bestFit="1" customWidth="1"/>
    <col min="10244" max="10244" width="10" style="120" customWidth="1"/>
    <col min="10245" max="10245" width="5.28515625" style="120" bestFit="1" customWidth="1"/>
    <col min="10246" max="10246" width="55" style="120" customWidth="1"/>
    <col min="10247" max="10247" width="17" style="120" bestFit="1" customWidth="1"/>
    <col min="10248" max="10248" width="19.140625" style="120" customWidth="1"/>
    <col min="10249" max="10249" width="19.42578125" style="120" customWidth="1"/>
    <col min="10250" max="10254" width="15.140625" style="120" customWidth="1"/>
    <col min="10255" max="10257" width="0" style="120" hidden="1" customWidth="1"/>
    <col min="10258" max="10259" width="10.7109375" style="120" bestFit="1" customWidth="1"/>
    <col min="10260" max="10260" width="10.28515625" style="120" bestFit="1" customWidth="1"/>
    <col min="10261" max="10261" width="11.85546875" style="120" bestFit="1" customWidth="1"/>
    <col min="10262" max="10262" width="15.42578125" style="120" customWidth="1"/>
    <col min="10263" max="10498" width="9.140625" style="120"/>
    <col min="10499" max="10499" width="7" style="120" bestFit="1" customWidth="1"/>
    <col min="10500" max="10500" width="10" style="120" customWidth="1"/>
    <col min="10501" max="10501" width="5.28515625" style="120" bestFit="1" customWidth="1"/>
    <col min="10502" max="10502" width="55" style="120" customWidth="1"/>
    <col min="10503" max="10503" width="17" style="120" bestFit="1" customWidth="1"/>
    <col min="10504" max="10504" width="19.140625" style="120" customWidth="1"/>
    <col min="10505" max="10505" width="19.42578125" style="120" customWidth="1"/>
    <col min="10506" max="10510" width="15.140625" style="120" customWidth="1"/>
    <col min="10511" max="10513" width="0" style="120" hidden="1" customWidth="1"/>
    <col min="10514" max="10515" width="10.7109375" style="120" bestFit="1" customWidth="1"/>
    <col min="10516" max="10516" width="10.28515625" style="120" bestFit="1" customWidth="1"/>
    <col min="10517" max="10517" width="11.85546875" style="120" bestFit="1" customWidth="1"/>
    <col min="10518" max="10518" width="15.42578125" style="120" customWidth="1"/>
    <col min="10519" max="10754" width="9.140625" style="120"/>
    <col min="10755" max="10755" width="7" style="120" bestFit="1" customWidth="1"/>
    <col min="10756" max="10756" width="10" style="120" customWidth="1"/>
    <col min="10757" max="10757" width="5.28515625" style="120" bestFit="1" customWidth="1"/>
    <col min="10758" max="10758" width="55" style="120" customWidth="1"/>
    <col min="10759" max="10759" width="17" style="120" bestFit="1" customWidth="1"/>
    <col min="10760" max="10760" width="19.140625" style="120" customWidth="1"/>
    <col min="10761" max="10761" width="19.42578125" style="120" customWidth="1"/>
    <col min="10762" max="10766" width="15.140625" style="120" customWidth="1"/>
    <col min="10767" max="10769" width="0" style="120" hidden="1" customWidth="1"/>
    <col min="10770" max="10771" width="10.7109375" style="120" bestFit="1" customWidth="1"/>
    <col min="10772" max="10772" width="10.28515625" style="120" bestFit="1" customWidth="1"/>
    <col min="10773" max="10773" width="11.85546875" style="120" bestFit="1" customWidth="1"/>
    <col min="10774" max="10774" width="15.42578125" style="120" customWidth="1"/>
    <col min="10775" max="11010" width="9.140625" style="120"/>
    <col min="11011" max="11011" width="7" style="120" bestFit="1" customWidth="1"/>
    <col min="11012" max="11012" width="10" style="120" customWidth="1"/>
    <col min="11013" max="11013" width="5.28515625" style="120" bestFit="1" customWidth="1"/>
    <col min="11014" max="11014" width="55" style="120" customWidth="1"/>
    <col min="11015" max="11015" width="17" style="120" bestFit="1" customWidth="1"/>
    <col min="11016" max="11016" width="19.140625" style="120" customWidth="1"/>
    <col min="11017" max="11017" width="19.42578125" style="120" customWidth="1"/>
    <col min="11018" max="11022" width="15.140625" style="120" customWidth="1"/>
    <col min="11023" max="11025" width="0" style="120" hidden="1" customWidth="1"/>
    <col min="11026" max="11027" width="10.7109375" style="120" bestFit="1" customWidth="1"/>
    <col min="11028" max="11028" width="10.28515625" style="120" bestFit="1" customWidth="1"/>
    <col min="11029" max="11029" width="11.85546875" style="120" bestFit="1" customWidth="1"/>
    <col min="11030" max="11030" width="15.42578125" style="120" customWidth="1"/>
    <col min="11031" max="11266" width="9.140625" style="120"/>
    <col min="11267" max="11267" width="7" style="120" bestFit="1" customWidth="1"/>
    <col min="11268" max="11268" width="10" style="120" customWidth="1"/>
    <col min="11269" max="11269" width="5.28515625" style="120" bestFit="1" customWidth="1"/>
    <col min="11270" max="11270" width="55" style="120" customWidth="1"/>
    <col min="11271" max="11271" width="17" style="120" bestFit="1" customWidth="1"/>
    <col min="11272" max="11272" width="19.140625" style="120" customWidth="1"/>
    <col min="11273" max="11273" width="19.42578125" style="120" customWidth="1"/>
    <col min="11274" max="11278" width="15.140625" style="120" customWidth="1"/>
    <col min="11279" max="11281" width="0" style="120" hidden="1" customWidth="1"/>
    <col min="11282" max="11283" width="10.7109375" style="120" bestFit="1" customWidth="1"/>
    <col min="11284" max="11284" width="10.28515625" style="120" bestFit="1" customWidth="1"/>
    <col min="11285" max="11285" width="11.85546875" style="120" bestFit="1" customWidth="1"/>
    <col min="11286" max="11286" width="15.42578125" style="120" customWidth="1"/>
    <col min="11287" max="11522" width="9.140625" style="120"/>
    <col min="11523" max="11523" width="7" style="120" bestFit="1" customWidth="1"/>
    <col min="11524" max="11524" width="10" style="120" customWidth="1"/>
    <col min="11525" max="11525" width="5.28515625" style="120" bestFit="1" customWidth="1"/>
    <col min="11526" max="11526" width="55" style="120" customWidth="1"/>
    <col min="11527" max="11527" width="17" style="120" bestFit="1" customWidth="1"/>
    <col min="11528" max="11528" width="19.140625" style="120" customWidth="1"/>
    <col min="11529" max="11529" width="19.42578125" style="120" customWidth="1"/>
    <col min="11530" max="11534" width="15.140625" style="120" customWidth="1"/>
    <col min="11535" max="11537" width="0" style="120" hidden="1" customWidth="1"/>
    <col min="11538" max="11539" width="10.7109375" style="120" bestFit="1" customWidth="1"/>
    <col min="11540" max="11540" width="10.28515625" style="120" bestFit="1" customWidth="1"/>
    <col min="11541" max="11541" width="11.85546875" style="120" bestFit="1" customWidth="1"/>
    <col min="11542" max="11542" width="15.42578125" style="120" customWidth="1"/>
    <col min="11543" max="11778" width="9.140625" style="120"/>
    <col min="11779" max="11779" width="7" style="120" bestFit="1" customWidth="1"/>
    <col min="11780" max="11780" width="10" style="120" customWidth="1"/>
    <col min="11781" max="11781" width="5.28515625" style="120" bestFit="1" customWidth="1"/>
    <col min="11782" max="11782" width="55" style="120" customWidth="1"/>
    <col min="11783" max="11783" width="17" style="120" bestFit="1" customWidth="1"/>
    <col min="11784" max="11784" width="19.140625" style="120" customWidth="1"/>
    <col min="11785" max="11785" width="19.42578125" style="120" customWidth="1"/>
    <col min="11786" max="11790" width="15.140625" style="120" customWidth="1"/>
    <col min="11791" max="11793" width="0" style="120" hidden="1" customWidth="1"/>
    <col min="11794" max="11795" width="10.7109375" style="120" bestFit="1" customWidth="1"/>
    <col min="11796" max="11796" width="10.28515625" style="120" bestFit="1" customWidth="1"/>
    <col min="11797" max="11797" width="11.85546875" style="120" bestFit="1" customWidth="1"/>
    <col min="11798" max="11798" width="15.42578125" style="120" customWidth="1"/>
    <col min="11799" max="12034" width="9.140625" style="120"/>
    <col min="12035" max="12035" width="7" style="120" bestFit="1" customWidth="1"/>
    <col min="12036" max="12036" width="10" style="120" customWidth="1"/>
    <col min="12037" max="12037" width="5.28515625" style="120" bestFit="1" customWidth="1"/>
    <col min="12038" max="12038" width="55" style="120" customWidth="1"/>
    <col min="12039" max="12039" width="17" style="120" bestFit="1" customWidth="1"/>
    <col min="12040" max="12040" width="19.140625" style="120" customWidth="1"/>
    <col min="12041" max="12041" width="19.42578125" style="120" customWidth="1"/>
    <col min="12042" max="12046" width="15.140625" style="120" customWidth="1"/>
    <col min="12047" max="12049" width="0" style="120" hidden="1" customWidth="1"/>
    <col min="12050" max="12051" width="10.7109375" style="120" bestFit="1" customWidth="1"/>
    <col min="12052" max="12052" width="10.28515625" style="120" bestFit="1" customWidth="1"/>
    <col min="12053" max="12053" width="11.85546875" style="120" bestFit="1" customWidth="1"/>
    <col min="12054" max="12054" width="15.42578125" style="120" customWidth="1"/>
    <col min="12055" max="12290" width="9.140625" style="120"/>
    <col min="12291" max="12291" width="7" style="120" bestFit="1" customWidth="1"/>
    <col min="12292" max="12292" width="10" style="120" customWidth="1"/>
    <col min="12293" max="12293" width="5.28515625" style="120" bestFit="1" customWidth="1"/>
    <col min="12294" max="12294" width="55" style="120" customWidth="1"/>
    <col min="12295" max="12295" width="17" style="120" bestFit="1" customWidth="1"/>
    <col min="12296" max="12296" width="19.140625" style="120" customWidth="1"/>
    <col min="12297" max="12297" width="19.42578125" style="120" customWidth="1"/>
    <col min="12298" max="12302" width="15.140625" style="120" customWidth="1"/>
    <col min="12303" max="12305" width="0" style="120" hidden="1" customWidth="1"/>
    <col min="12306" max="12307" width="10.7109375" style="120" bestFit="1" customWidth="1"/>
    <col min="12308" max="12308" width="10.28515625" style="120" bestFit="1" customWidth="1"/>
    <col min="12309" max="12309" width="11.85546875" style="120" bestFit="1" customWidth="1"/>
    <col min="12310" max="12310" width="15.42578125" style="120" customWidth="1"/>
    <col min="12311" max="12546" width="9.140625" style="120"/>
    <col min="12547" max="12547" width="7" style="120" bestFit="1" customWidth="1"/>
    <col min="12548" max="12548" width="10" style="120" customWidth="1"/>
    <col min="12549" max="12549" width="5.28515625" style="120" bestFit="1" customWidth="1"/>
    <col min="12550" max="12550" width="55" style="120" customWidth="1"/>
    <col min="12551" max="12551" width="17" style="120" bestFit="1" customWidth="1"/>
    <col min="12552" max="12552" width="19.140625" style="120" customWidth="1"/>
    <col min="12553" max="12553" width="19.42578125" style="120" customWidth="1"/>
    <col min="12554" max="12558" width="15.140625" style="120" customWidth="1"/>
    <col min="12559" max="12561" width="0" style="120" hidden="1" customWidth="1"/>
    <col min="12562" max="12563" width="10.7109375" style="120" bestFit="1" customWidth="1"/>
    <col min="12564" max="12564" width="10.28515625" style="120" bestFit="1" customWidth="1"/>
    <col min="12565" max="12565" width="11.85546875" style="120" bestFit="1" customWidth="1"/>
    <col min="12566" max="12566" width="15.42578125" style="120" customWidth="1"/>
    <col min="12567" max="12802" width="9.140625" style="120"/>
    <col min="12803" max="12803" width="7" style="120" bestFit="1" customWidth="1"/>
    <col min="12804" max="12804" width="10" style="120" customWidth="1"/>
    <col min="12805" max="12805" width="5.28515625" style="120" bestFit="1" customWidth="1"/>
    <col min="12806" max="12806" width="55" style="120" customWidth="1"/>
    <col min="12807" max="12807" width="17" style="120" bestFit="1" customWidth="1"/>
    <col min="12808" max="12808" width="19.140625" style="120" customWidth="1"/>
    <col min="12809" max="12809" width="19.42578125" style="120" customWidth="1"/>
    <col min="12810" max="12814" width="15.140625" style="120" customWidth="1"/>
    <col min="12815" max="12817" width="0" style="120" hidden="1" customWidth="1"/>
    <col min="12818" max="12819" width="10.7109375" style="120" bestFit="1" customWidth="1"/>
    <col min="12820" max="12820" width="10.28515625" style="120" bestFit="1" customWidth="1"/>
    <col min="12821" max="12821" width="11.85546875" style="120" bestFit="1" customWidth="1"/>
    <col min="12822" max="12822" width="15.42578125" style="120" customWidth="1"/>
    <col min="12823" max="13058" width="9.140625" style="120"/>
    <col min="13059" max="13059" width="7" style="120" bestFit="1" customWidth="1"/>
    <col min="13060" max="13060" width="10" style="120" customWidth="1"/>
    <col min="13061" max="13061" width="5.28515625" style="120" bestFit="1" customWidth="1"/>
    <col min="13062" max="13062" width="55" style="120" customWidth="1"/>
    <col min="13063" max="13063" width="17" style="120" bestFit="1" customWidth="1"/>
    <col min="13064" max="13064" width="19.140625" style="120" customWidth="1"/>
    <col min="13065" max="13065" width="19.42578125" style="120" customWidth="1"/>
    <col min="13066" max="13070" width="15.140625" style="120" customWidth="1"/>
    <col min="13071" max="13073" width="0" style="120" hidden="1" customWidth="1"/>
    <col min="13074" max="13075" width="10.7109375" style="120" bestFit="1" customWidth="1"/>
    <col min="13076" max="13076" width="10.28515625" style="120" bestFit="1" customWidth="1"/>
    <col min="13077" max="13077" width="11.85546875" style="120" bestFit="1" customWidth="1"/>
    <col min="13078" max="13078" width="15.42578125" style="120" customWidth="1"/>
    <col min="13079" max="13314" width="9.140625" style="120"/>
    <col min="13315" max="13315" width="7" style="120" bestFit="1" customWidth="1"/>
    <col min="13316" max="13316" width="10" style="120" customWidth="1"/>
    <col min="13317" max="13317" width="5.28515625" style="120" bestFit="1" customWidth="1"/>
    <col min="13318" max="13318" width="55" style="120" customWidth="1"/>
    <col min="13319" max="13319" width="17" style="120" bestFit="1" customWidth="1"/>
    <col min="13320" max="13320" width="19.140625" style="120" customWidth="1"/>
    <col min="13321" max="13321" width="19.42578125" style="120" customWidth="1"/>
    <col min="13322" max="13326" width="15.140625" style="120" customWidth="1"/>
    <col min="13327" max="13329" width="0" style="120" hidden="1" customWidth="1"/>
    <col min="13330" max="13331" width="10.7109375" style="120" bestFit="1" customWidth="1"/>
    <col min="13332" max="13332" width="10.28515625" style="120" bestFit="1" customWidth="1"/>
    <col min="13333" max="13333" width="11.85546875" style="120" bestFit="1" customWidth="1"/>
    <col min="13334" max="13334" width="15.42578125" style="120" customWidth="1"/>
    <col min="13335" max="13570" width="9.140625" style="120"/>
    <col min="13571" max="13571" width="7" style="120" bestFit="1" customWidth="1"/>
    <col min="13572" max="13572" width="10" style="120" customWidth="1"/>
    <col min="13573" max="13573" width="5.28515625" style="120" bestFit="1" customWidth="1"/>
    <col min="13574" max="13574" width="55" style="120" customWidth="1"/>
    <col min="13575" max="13575" width="17" style="120" bestFit="1" customWidth="1"/>
    <col min="13576" max="13576" width="19.140625" style="120" customWidth="1"/>
    <col min="13577" max="13577" width="19.42578125" style="120" customWidth="1"/>
    <col min="13578" max="13582" width="15.140625" style="120" customWidth="1"/>
    <col min="13583" max="13585" width="0" style="120" hidden="1" customWidth="1"/>
    <col min="13586" max="13587" width="10.7109375" style="120" bestFit="1" customWidth="1"/>
    <col min="13588" max="13588" width="10.28515625" style="120" bestFit="1" customWidth="1"/>
    <col min="13589" max="13589" width="11.85546875" style="120" bestFit="1" customWidth="1"/>
    <col min="13590" max="13590" width="15.42578125" style="120" customWidth="1"/>
    <col min="13591" max="13826" width="9.140625" style="120"/>
    <col min="13827" max="13827" width="7" style="120" bestFit="1" customWidth="1"/>
    <col min="13828" max="13828" width="10" style="120" customWidth="1"/>
    <col min="13829" max="13829" width="5.28515625" style="120" bestFit="1" customWidth="1"/>
    <col min="13830" max="13830" width="55" style="120" customWidth="1"/>
    <col min="13831" max="13831" width="17" style="120" bestFit="1" customWidth="1"/>
    <col min="13832" max="13832" width="19.140625" style="120" customWidth="1"/>
    <col min="13833" max="13833" width="19.42578125" style="120" customWidth="1"/>
    <col min="13834" max="13838" width="15.140625" style="120" customWidth="1"/>
    <col min="13839" max="13841" width="0" style="120" hidden="1" customWidth="1"/>
    <col min="13842" max="13843" width="10.7109375" style="120" bestFit="1" customWidth="1"/>
    <col min="13844" max="13844" width="10.28515625" style="120" bestFit="1" customWidth="1"/>
    <col min="13845" max="13845" width="11.85546875" style="120" bestFit="1" customWidth="1"/>
    <col min="13846" max="13846" width="15.42578125" style="120" customWidth="1"/>
    <col min="13847" max="14082" width="9.140625" style="120"/>
    <col min="14083" max="14083" width="7" style="120" bestFit="1" customWidth="1"/>
    <col min="14084" max="14084" width="10" style="120" customWidth="1"/>
    <col min="14085" max="14085" width="5.28515625" style="120" bestFit="1" customWidth="1"/>
    <col min="14086" max="14086" width="55" style="120" customWidth="1"/>
    <col min="14087" max="14087" width="17" style="120" bestFit="1" customWidth="1"/>
    <col min="14088" max="14088" width="19.140625" style="120" customWidth="1"/>
    <col min="14089" max="14089" width="19.42578125" style="120" customWidth="1"/>
    <col min="14090" max="14094" width="15.140625" style="120" customWidth="1"/>
    <col min="14095" max="14097" width="0" style="120" hidden="1" customWidth="1"/>
    <col min="14098" max="14099" width="10.7109375" style="120" bestFit="1" customWidth="1"/>
    <col min="14100" max="14100" width="10.28515625" style="120" bestFit="1" customWidth="1"/>
    <col min="14101" max="14101" width="11.85546875" style="120" bestFit="1" customWidth="1"/>
    <col min="14102" max="14102" width="15.42578125" style="120" customWidth="1"/>
    <col min="14103" max="14338" width="9.140625" style="120"/>
    <col min="14339" max="14339" width="7" style="120" bestFit="1" customWidth="1"/>
    <col min="14340" max="14340" width="10" style="120" customWidth="1"/>
    <col min="14341" max="14341" width="5.28515625" style="120" bestFit="1" customWidth="1"/>
    <col min="14342" max="14342" width="55" style="120" customWidth="1"/>
    <col min="14343" max="14343" width="17" style="120" bestFit="1" customWidth="1"/>
    <col min="14344" max="14344" width="19.140625" style="120" customWidth="1"/>
    <col min="14345" max="14345" width="19.42578125" style="120" customWidth="1"/>
    <col min="14346" max="14350" width="15.140625" style="120" customWidth="1"/>
    <col min="14351" max="14353" width="0" style="120" hidden="1" customWidth="1"/>
    <col min="14354" max="14355" width="10.7109375" style="120" bestFit="1" customWidth="1"/>
    <col min="14356" max="14356" width="10.28515625" style="120" bestFit="1" customWidth="1"/>
    <col min="14357" max="14357" width="11.85546875" style="120" bestFit="1" customWidth="1"/>
    <col min="14358" max="14358" width="15.42578125" style="120" customWidth="1"/>
    <col min="14359" max="14594" width="9.140625" style="120"/>
    <col min="14595" max="14595" width="7" style="120" bestFit="1" customWidth="1"/>
    <col min="14596" max="14596" width="10" style="120" customWidth="1"/>
    <col min="14597" max="14597" width="5.28515625" style="120" bestFit="1" customWidth="1"/>
    <col min="14598" max="14598" width="55" style="120" customWidth="1"/>
    <col min="14599" max="14599" width="17" style="120" bestFit="1" customWidth="1"/>
    <col min="14600" max="14600" width="19.140625" style="120" customWidth="1"/>
    <col min="14601" max="14601" width="19.42578125" style="120" customWidth="1"/>
    <col min="14602" max="14606" width="15.140625" style="120" customWidth="1"/>
    <col min="14607" max="14609" width="0" style="120" hidden="1" customWidth="1"/>
    <col min="14610" max="14611" width="10.7109375" style="120" bestFit="1" customWidth="1"/>
    <col min="14612" max="14612" width="10.28515625" style="120" bestFit="1" customWidth="1"/>
    <col min="14613" max="14613" width="11.85546875" style="120" bestFit="1" customWidth="1"/>
    <col min="14614" max="14614" width="15.42578125" style="120" customWidth="1"/>
    <col min="14615" max="14850" width="9.140625" style="120"/>
    <col min="14851" max="14851" width="7" style="120" bestFit="1" customWidth="1"/>
    <col min="14852" max="14852" width="10" style="120" customWidth="1"/>
    <col min="14853" max="14853" width="5.28515625" style="120" bestFit="1" customWidth="1"/>
    <col min="14854" max="14854" width="55" style="120" customWidth="1"/>
    <col min="14855" max="14855" width="17" style="120" bestFit="1" customWidth="1"/>
    <col min="14856" max="14856" width="19.140625" style="120" customWidth="1"/>
    <col min="14857" max="14857" width="19.42578125" style="120" customWidth="1"/>
    <col min="14858" max="14862" width="15.140625" style="120" customWidth="1"/>
    <col min="14863" max="14865" width="0" style="120" hidden="1" customWidth="1"/>
    <col min="14866" max="14867" width="10.7109375" style="120" bestFit="1" customWidth="1"/>
    <col min="14868" max="14868" width="10.28515625" style="120" bestFit="1" customWidth="1"/>
    <col min="14869" max="14869" width="11.85546875" style="120" bestFit="1" customWidth="1"/>
    <col min="14870" max="14870" width="15.42578125" style="120" customWidth="1"/>
    <col min="14871" max="15106" width="9.140625" style="120"/>
    <col min="15107" max="15107" width="7" style="120" bestFit="1" customWidth="1"/>
    <col min="15108" max="15108" width="10" style="120" customWidth="1"/>
    <col min="15109" max="15109" width="5.28515625" style="120" bestFit="1" customWidth="1"/>
    <col min="15110" max="15110" width="55" style="120" customWidth="1"/>
    <col min="15111" max="15111" width="17" style="120" bestFit="1" customWidth="1"/>
    <col min="15112" max="15112" width="19.140625" style="120" customWidth="1"/>
    <col min="15113" max="15113" width="19.42578125" style="120" customWidth="1"/>
    <col min="15114" max="15118" width="15.140625" style="120" customWidth="1"/>
    <col min="15119" max="15121" width="0" style="120" hidden="1" customWidth="1"/>
    <col min="15122" max="15123" width="10.7109375" style="120" bestFit="1" customWidth="1"/>
    <col min="15124" max="15124" width="10.28515625" style="120" bestFit="1" customWidth="1"/>
    <col min="15125" max="15125" width="11.85546875" style="120" bestFit="1" customWidth="1"/>
    <col min="15126" max="15126" width="15.42578125" style="120" customWidth="1"/>
    <col min="15127" max="15362" width="9.140625" style="120"/>
    <col min="15363" max="15363" width="7" style="120" bestFit="1" customWidth="1"/>
    <col min="15364" max="15364" width="10" style="120" customWidth="1"/>
    <col min="15365" max="15365" width="5.28515625" style="120" bestFit="1" customWidth="1"/>
    <col min="15366" max="15366" width="55" style="120" customWidth="1"/>
    <col min="15367" max="15367" width="17" style="120" bestFit="1" customWidth="1"/>
    <col min="15368" max="15368" width="19.140625" style="120" customWidth="1"/>
    <col min="15369" max="15369" width="19.42578125" style="120" customWidth="1"/>
    <col min="15370" max="15374" width="15.140625" style="120" customWidth="1"/>
    <col min="15375" max="15377" width="0" style="120" hidden="1" customWidth="1"/>
    <col min="15378" max="15379" width="10.7109375" style="120" bestFit="1" customWidth="1"/>
    <col min="15380" max="15380" width="10.28515625" style="120" bestFit="1" customWidth="1"/>
    <col min="15381" max="15381" width="11.85546875" style="120" bestFit="1" customWidth="1"/>
    <col min="15382" max="15382" width="15.42578125" style="120" customWidth="1"/>
    <col min="15383" max="15618" width="9.140625" style="120"/>
    <col min="15619" max="15619" width="7" style="120" bestFit="1" customWidth="1"/>
    <col min="15620" max="15620" width="10" style="120" customWidth="1"/>
    <col min="15621" max="15621" width="5.28515625" style="120" bestFit="1" customWidth="1"/>
    <col min="15622" max="15622" width="55" style="120" customWidth="1"/>
    <col min="15623" max="15623" width="17" style="120" bestFit="1" customWidth="1"/>
    <col min="15624" max="15624" width="19.140625" style="120" customWidth="1"/>
    <col min="15625" max="15625" width="19.42578125" style="120" customWidth="1"/>
    <col min="15626" max="15630" width="15.140625" style="120" customWidth="1"/>
    <col min="15631" max="15633" width="0" style="120" hidden="1" customWidth="1"/>
    <col min="15634" max="15635" width="10.7109375" style="120" bestFit="1" customWidth="1"/>
    <col min="15636" max="15636" width="10.28515625" style="120" bestFit="1" customWidth="1"/>
    <col min="15637" max="15637" width="11.85546875" style="120" bestFit="1" customWidth="1"/>
    <col min="15638" max="15638" width="15.42578125" style="120" customWidth="1"/>
    <col min="15639" max="15874" width="9.140625" style="120"/>
    <col min="15875" max="15875" width="7" style="120" bestFit="1" customWidth="1"/>
    <col min="15876" max="15876" width="10" style="120" customWidth="1"/>
    <col min="15877" max="15877" width="5.28515625" style="120" bestFit="1" customWidth="1"/>
    <col min="15878" max="15878" width="55" style="120" customWidth="1"/>
    <col min="15879" max="15879" width="17" style="120" bestFit="1" customWidth="1"/>
    <col min="15880" max="15880" width="19.140625" style="120" customWidth="1"/>
    <col min="15881" max="15881" width="19.42578125" style="120" customWidth="1"/>
    <col min="15882" max="15886" width="15.140625" style="120" customWidth="1"/>
    <col min="15887" max="15889" width="0" style="120" hidden="1" customWidth="1"/>
    <col min="15890" max="15891" width="10.7109375" style="120" bestFit="1" customWidth="1"/>
    <col min="15892" max="15892" width="10.28515625" style="120" bestFit="1" customWidth="1"/>
    <col min="15893" max="15893" width="11.85546875" style="120" bestFit="1" customWidth="1"/>
    <col min="15894" max="15894" width="15.42578125" style="120" customWidth="1"/>
    <col min="15895" max="16130" width="9.140625" style="120"/>
    <col min="16131" max="16131" width="7" style="120" bestFit="1" customWidth="1"/>
    <col min="16132" max="16132" width="10" style="120" customWidth="1"/>
    <col min="16133" max="16133" width="5.28515625" style="120" bestFit="1" customWidth="1"/>
    <col min="16134" max="16134" width="55" style="120" customWidth="1"/>
    <col min="16135" max="16135" width="17" style="120" bestFit="1" customWidth="1"/>
    <col min="16136" max="16136" width="19.140625" style="120" customWidth="1"/>
    <col min="16137" max="16137" width="19.42578125" style="120" customWidth="1"/>
    <col min="16138" max="16142" width="15.140625" style="120" customWidth="1"/>
    <col min="16143" max="16145" width="0" style="120" hidden="1" customWidth="1"/>
    <col min="16146" max="16147" width="10.7109375" style="120" bestFit="1" customWidth="1"/>
    <col min="16148" max="16148" width="10.28515625" style="120" bestFit="1" customWidth="1"/>
    <col min="16149" max="16149" width="11.85546875" style="120" bestFit="1" customWidth="1"/>
    <col min="16150" max="16150" width="15.42578125" style="120" customWidth="1"/>
    <col min="16151" max="16384" width="9.140625" style="120"/>
  </cols>
  <sheetData>
    <row r="1" spans="1:17" ht="31.5" customHeight="1" x14ac:dyDescent="0.25">
      <c r="A1" s="596" t="s">
        <v>0</v>
      </c>
      <c r="B1" s="596"/>
      <c r="C1" s="596"/>
      <c r="D1" s="596"/>
      <c r="E1" s="596"/>
      <c r="F1" s="596"/>
      <c r="G1" s="596"/>
      <c r="H1" s="596"/>
      <c r="I1" s="596"/>
      <c r="J1" s="112"/>
    </row>
    <row r="2" spans="1:17" ht="31.5" customHeight="1" x14ac:dyDescent="0.25">
      <c r="A2" s="596" t="s">
        <v>1</v>
      </c>
      <c r="B2" s="596"/>
      <c r="C2" s="596"/>
      <c r="D2" s="596"/>
      <c r="E2" s="596"/>
      <c r="F2" s="596"/>
      <c r="G2" s="596"/>
      <c r="H2" s="596"/>
      <c r="I2" s="596"/>
      <c r="J2" s="112"/>
    </row>
    <row r="3" spans="1:17" ht="31.5" customHeight="1" x14ac:dyDescent="0.25">
      <c r="A3" s="596" t="s">
        <v>388</v>
      </c>
      <c r="B3" s="596"/>
      <c r="C3" s="596"/>
      <c r="D3" s="596"/>
      <c r="E3" s="596"/>
      <c r="F3" s="596"/>
      <c r="G3" s="596"/>
      <c r="H3" s="596"/>
      <c r="I3" s="596"/>
      <c r="J3" s="112"/>
    </row>
    <row r="4" spans="1:17" ht="18.75" customHeight="1" x14ac:dyDescent="0.25">
      <c r="A4" s="113"/>
      <c r="B4" s="113"/>
      <c r="C4" s="113"/>
      <c r="D4" s="111"/>
      <c r="E4" s="111"/>
      <c r="F4" s="111"/>
      <c r="G4" s="114"/>
      <c r="H4" s="111"/>
      <c r="I4" s="111"/>
      <c r="J4" s="112"/>
    </row>
    <row r="5" spans="1:17" ht="15.75" customHeight="1" x14ac:dyDescent="0.25">
      <c r="A5" s="597" t="s">
        <v>2</v>
      </c>
      <c r="B5" s="598"/>
      <c r="C5" s="598"/>
      <c r="D5" s="598"/>
      <c r="E5" s="598"/>
      <c r="F5" s="598"/>
      <c r="G5" s="598"/>
      <c r="H5" s="598"/>
      <c r="I5" s="598"/>
    </row>
    <row r="6" spans="1:17" s="121" customFormat="1" ht="47.25" x14ac:dyDescent="0.25">
      <c r="A6" s="127" t="s">
        <v>3</v>
      </c>
      <c r="B6" s="127" t="s">
        <v>4</v>
      </c>
      <c r="C6" s="128" t="s">
        <v>5</v>
      </c>
      <c r="D6" s="129" t="s">
        <v>6</v>
      </c>
      <c r="E6" s="127" t="s">
        <v>567</v>
      </c>
      <c r="F6" s="127" t="s">
        <v>571</v>
      </c>
      <c r="G6" s="344" t="s">
        <v>569</v>
      </c>
      <c r="H6" s="116" t="s">
        <v>570</v>
      </c>
      <c r="I6" s="117" t="s">
        <v>568</v>
      </c>
      <c r="J6" s="120"/>
      <c r="K6" s="120"/>
      <c r="L6" s="120"/>
      <c r="M6" s="120"/>
      <c r="N6" s="120"/>
      <c r="O6" s="120"/>
      <c r="P6" s="120"/>
      <c r="Q6" s="120"/>
    </row>
    <row r="7" spans="1:17" s="121" customFormat="1" x14ac:dyDescent="0.25">
      <c r="A7" s="592">
        <v>1</v>
      </c>
      <c r="B7" s="592"/>
      <c r="C7" s="592"/>
      <c r="D7" s="592"/>
      <c r="E7" s="131"/>
      <c r="F7" s="131"/>
      <c r="G7" s="132">
        <v>2</v>
      </c>
      <c r="H7" s="133">
        <v>3</v>
      </c>
      <c r="I7" s="133">
        <v>4</v>
      </c>
      <c r="J7" s="120"/>
      <c r="K7" s="120"/>
      <c r="L7" s="120"/>
      <c r="M7" s="120"/>
      <c r="N7" s="120"/>
      <c r="O7" s="120"/>
      <c r="P7" s="120"/>
      <c r="Q7" s="120"/>
    </row>
    <row r="8" spans="1:17" s="139" customFormat="1" x14ac:dyDescent="0.25">
      <c r="A8" s="134">
        <v>6</v>
      </c>
      <c r="B8" s="135"/>
      <c r="C8" s="134"/>
      <c r="D8" s="136" t="s">
        <v>7</v>
      </c>
      <c r="E8" s="137">
        <f t="shared" ref="E8" si="0">SUM(E15,E73,E53,E33,E79,E84)</f>
        <v>5100997.3000000007</v>
      </c>
      <c r="F8" s="137">
        <f t="shared" ref="F8:I8" si="1">SUM(F15,F73,F53,F33,F79,F84)</f>
        <v>5178157.92</v>
      </c>
      <c r="G8" s="137">
        <f t="shared" si="1"/>
        <v>5420091.0800000001</v>
      </c>
      <c r="H8" s="137">
        <f t="shared" si="1"/>
        <v>5902923.1899999995</v>
      </c>
      <c r="I8" s="137">
        <f t="shared" si="1"/>
        <v>6174587.6399999997</v>
      </c>
      <c r="J8" s="138"/>
      <c r="K8" s="138"/>
      <c r="L8" s="138"/>
      <c r="M8" s="138"/>
      <c r="N8" s="138"/>
      <c r="O8" s="138"/>
      <c r="P8" s="138"/>
      <c r="Q8" s="138"/>
    </row>
    <row r="9" spans="1:17" s="139" customFormat="1" ht="31.5" x14ac:dyDescent="0.25">
      <c r="A9" s="140"/>
      <c r="B9" s="141">
        <v>67</v>
      </c>
      <c r="C9" s="142"/>
      <c r="D9" s="143" t="s">
        <v>8</v>
      </c>
      <c r="E9" s="144">
        <f t="shared" ref="E9:I9" si="2">E10</f>
        <v>397160.43000000005</v>
      </c>
      <c r="F9" s="144">
        <f t="shared" si="2"/>
        <v>561264.02</v>
      </c>
      <c r="G9" s="144">
        <f t="shared" si="2"/>
        <v>358264.02</v>
      </c>
      <c r="H9" s="144">
        <f t="shared" si="2"/>
        <v>358264.02</v>
      </c>
      <c r="I9" s="144">
        <f t="shared" si="2"/>
        <v>358264.02</v>
      </c>
      <c r="J9" s="138"/>
      <c r="K9" s="138"/>
      <c r="L9" s="138"/>
      <c r="M9" s="138"/>
      <c r="N9" s="138"/>
      <c r="O9" s="138"/>
      <c r="P9" s="138"/>
      <c r="Q9" s="138"/>
    </row>
    <row r="10" spans="1:17" s="139" customFormat="1" ht="31.5" x14ac:dyDescent="0.25">
      <c r="A10" s="140"/>
      <c r="B10" s="145" t="s">
        <v>9</v>
      </c>
      <c r="C10" s="146"/>
      <c r="D10" s="147" t="s">
        <v>10</v>
      </c>
      <c r="E10" s="148">
        <f t="shared" ref="E10" si="3">SUM(E11,E13)</f>
        <v>397160.43000000005</v>
      </c>
      <c r="F10" s="148">
        <f t="shared" ref="F10:I10" si="4">SUM(F11,F13)</f>
        <v>561264.02</v>
      </c>
      <c r="G10" s="148">
        <f t="shared" si="4"/>
        <v>358264.02</v>
      </c>
      <c r="H10" s="148">
        <f t="shared" si="4"/>
        <v>358264.02</v>
      </c>
      <c r="I10" s="148">
        <f t="shared" si="4"/>
        <v>358264.02</v>
      </c>
      <c r="J10" s="149"/>
      <c r="K10" s="138"/>
      <c r="L10" s="138"/>
      <c r="M10" s="138"/>
      <c r="N10" s="138"/>
      <c r="O10" s="138"/>
      <c r="P10" s="138"/>
      <c r="Q10" s="138"/>
    </row>
    <row r="11" spans="1:17" s="139" customFormat="1" ht="31.5" x14ac:dyDescent="0.25">
      <c r="A11" s="140"/>
      <c r="B11" s="145" t="s">
        <v>11</v>
      </c>
      <c r="C11" s="146"/>
      <c r="D11" s="147" t="s">
        <v>12</v>
      </c>
      <c r="E11" s="148">
        <f t="shared" ref="E11:I11" si="5">E12</f>
        <v>141650.92000000001</v>
      </c>
      <c r="F11" s="148">
        <f t="shared" si="5"/>
        <v>352264.02</v>
      </c>
      <c r="G11" s="148">
        <f t="shared" si="5"/>
        <v>92988.02</v>
      </c>
      <c r="H11" s="148">
        <f t="shared" si="5"/>
        <v>92988.02</v>
      </c>
      <c r="I11" s="148">
        <f t="shared" si="5"/>
        <v>92988.02</v>
      </c>
      <c r="J11" s="138"/>
      <c r="K11" s="138"/>
      <c r="L11" s="138"/>
      <c r="M11" s="138"/>
      <c r="N11" s="138"/>
      <c r="O11" s="138"/>
      <c r="P11" s="138"/>
      <c r="Q11" s="138"/>
    </row>
    <row r="12" spans="1:17" s="139" customFormat="1" ht="31.5" x14ac:dyDescent="0.25">
      <c r="A12" s="140"/>
      <c r="B12" s="150" t="s">
        <v>484</v>
      </c>
      <c r="C12" s="151"/>
      <c r="D12" s="152" t="s">
        <v>12</v>
      </c>
      <c r="E12" s="153">
        <v>141650.92000000001</v>
      </c>
      <c r="F12" s="153">
        <v>352264.02</v>
      </c>
      <c r="G12" s="153">
        <v>92988.02</v>
      </c>
      <c r="H12" s="153">
        <v>92988.02</v>
      </c>
      <c r="I12" s="153">
        <v>92988.02</v>
      </c>
      <c r="J12" s="138"/>
      <c r="K12" s="138"/>
      <c r="L12" s="138"/>
      <c r="M12" s="138"/>
      <c r="N12" s="138"/>
      <c r="O12" s="138"/>
      <c r="P12" s="138"/>
      <c r="Q12" s="138"/>
    </row>
    <row r="13" spans="1:17" s="139" customFormat="1" ht="31.5" x14ac:dyDescent="0.25">
      <c r="A13" s="140"/>
      <c r="B13" s="145" t="s">
        <v>13</v>
      </c>
      <c r="C13" s="146"/>
      <c r="D13" s="147" t="s">
        <v>14</v>
      </c>
      <c r="E13" s="148">
        <f t="shared" ref="E13:I13" si="6">E14</f>
        <v>255509.51</v>
      </c>
      <c r="F13" s="148">
        <f t="shared" si="6"/>
        <v>209000</v>
      </c>
      <c r="G13" s="148">
        <f t="shared" si="6"/>
        <v>265276</v>
      </c>
      <c r="H13" s="148">
        <f t="shared" si="6"/>
        <v>265276</v>
      </c>
      <c r="I13" s="148">
        <f t="shared" si="6"/>
        <v>265276</v>
      </c>
      <c r="J13" s="138"/>
      <c r="K13" s="138"/>
      <c r="L13" s="138"/>
      <c r="M13" s="138"/>
      <c r="N13" s="138"/>
      <c r="O13" s="138"/>
      <c r="P13" s="138"/>
      <c r="Q13" s="138"/>
    </row>
    <row r="14" spans="1:17" s="139" customFormat="1" ht="31.5" x14ac:dyDescent="0.25">
      <c r="A14" s="140"/>
      <c r="B14" s="150" t="s">
        <v>485</v>
      </c>
      <c r="C14" s="151"/>
      <c r="D14" s="152" t="s">
        <v>14</v>
      </c>
      <c r="E14" s="153">
        <v>255509.51</v>
      </c>
      <c r="F14" s="153">
        <v>209000</v>
      </c>
      <c r="G14" s="153">
        <v>265276</v>
      </c>
      <c r="H14" s="153">
        <v>265276</v>
      </c>
      <c r="I14" s="153">
        <v>265276</v>
      </c>
      <c r="J14" s="138"/>
      <c r="K14" s="138"/>
      <c r="L14" s="138"/>
      <c r="M14" s="138"/>
      <c r="N14" s="138"/>
      <c r="O14" s="138"/>
      <c r="P14" s="138"/>
      <c r="Q14" s="138"/>
    </row>
    <row r="15" spans="1:17" s="160" customFormat="1" x14ac:dyDescent="0.25">
      <c r="A15" s="154"/>
      <c r="B15" s="155"/>
      <c r="C15" s="156">
        <v>11</v>
      </c>
      <c r="D15" s="157" t="s">
        <v>15</v>
      </c>
      <c r="E15" s="158">
        <f t="shared" ref="E15" si="7">E9</f>
        <v>397160.43000000005</v>
      </c>
      <c r="F15" s="158">
        <f t="shared" ref="F15:I15" si="8">F9</f>
        <v>561264.02</v>
      </c>
      <c r="G15" s="158">
        <f t="shared" si="8"/>
        <v>358264.02</v>
      </c>
      <c r="H15" s="158">
        <f t="shared" si="8"/>
        <v>358264.02</v>
      </c>
      <c r="I15" s="158">
        <f t="shared" si="8"/>
        <v>358264.02</v>
      </c>
      <c r="J15" s="159"/>
      <c r="K15" s="159"/>
      <c r="L15" s="159"/>
      <c r="M15" s="159"/>
      <c r="N15" s="159"/>
      <c r="O15" s="159"/>
      <c r="P15" s="159"/>
      <c r="Q15" s="159"/>
    </row>
    <row r="16" spans="1:17" s="139" customFormat="1" x14ac:dyDescent="0.25">
      <c r="A16" s="161"/>
      <c r="B16" s="175">
        <v>64</v>
      </c>
      <c r="C16" s="176"/>
      <c r="D16" s="177" t="s">
        <v>42</v>
      </c>
      <c r="E16" s="178">
        <f t="shared" ref="E16:I16" si="9">SUM(E17)</f>
        <v>40.760000000000005</v>
      </c>
      <c r="F16" s="178">
        <f t="shared" si="9"/>
        <v>200</v>
      </c>
      <c r="G16" s="178">
        <f t="shared" si="9"/>
        <v>200</v>
      </c>
      <c r="H16" s="178">
        <f t="shared" si="9"/>
        <v>200</v>
      </c>
      <c r="I16" s="178">
        <f t="shared" si="9"/>
        <v>200</v>
      </c>
      <c r="J16" s="138"/>
      <c r="K16" s="138"/>
      <c r="L16" s="138"/>
      <c r="M16" s="138"/>
      <c r="N16" s="138"/>
      <c r="O16" s="138"/>
      <c r="P16" s="138"/>
      <c r="Q16" s="138"/>
    </row>
    <row r="17" spans="1:17" s="139" customFormat="1" x14ac:dyDescent="0.25">
      <c r="A17" s="161"/>
      <c r="B17" s="179">
        <v>641</v>
      </c>
      <c r="C17" s="180"/>
      <c r="D17" s="164" t="s">
        <v>43</v>
      </c>
      <c r="E17" s="165">
        <f>SUM(E18,E20,E22,E23)</f>
        <v>40.760000000000005</v>
      </c>
      <c r="F17" s="165">
        <f t="shared" ref="F17:I17" si="10">SUM(F18,F20,F22,F23)</f>
        <v>200</v>
      </c>
      <c r="G17" s="165">
        <f t="shared" si="10"/>
        <v>200</v>
      </c>
      <c r="H17" s="165">
        <f t="shared" si="10"/>
        <v>200</v>
      </c>
      <c r="I17" s="165">
        <f t="shared" si="10"/>
        <v>200</v>
      </c>
      <c r="J17" s="138"/>
      <c r="K17" s="138"/>
      <c r="L17" s="138"/>
      <c r="M17" s="138"/>
      <c r="N17" s="138"/>
      <c r="O17" s="138"/>
      <c r="P17" s="138"/>
      <c r="Q17" s="138"/>
    </row>
    <row r="18" spans="1:17" s="139" customFormat="1" x14ac:dyDescent="0.25">
      <c r="A18" s="161"/>
      <c r="B18" s="179">
        <v>6413</v>
      </c>
      <c r="C18" s="193"/>
      <c r="D18" s="164" t="s">
        <v>57</v>
      </c>
      <c r="E18" s="165">
        <f t="shared" ref="E18:I18" si="11">SUM(E19)</f>
        <v>24.01</v>
      </c>
      <c r="F18" s="165">
        <f t="shared" si="11"/>
        <v>200</v>
      </c>
      <c r="G18" s="165">
        <f t="shared" si="11"/>
        <v>150</v>
      </c>
      <c r="H18" s="165">
        <f t="shared" si="11"/>
        <v>150</v>
      </c>
      <c r="I18" s="165">
        <f t="shared" si="11"/>
        <v>150</v>
      </c>
      <c r="J18" s="138"/>
      <c r="K18" s="138"/>
      <c r="L18" s="138"/>
      <c r="M18" s="138"/>
      <c r="N18" s="138"/>
      <c r="O18" s="138"/>
      <c r="P18" s="138"/>
      <c r="Q18" s="138"/>
    </row>
    <row r="19" spans="1:17" s="121" customFormat="1" x14ac:dyDescent="0.25">
      <c r="A19" s="140"/>
      <c r="B19" s="194">
        <v>64132</v>
      </c>
      <c r="C19" s="133"/>
      <c r="D19" s="195" t="s">
        <v>255</v>
      </c>
      <c r="E19" s="173">
        <v>24.01</v>
      </c>
      <c r="F19" s="173">
        <v>200</v>
      </c>
      <c r="G19" s="173">
        <v>150</v>
      </c>
      <c r="H19" s="173">
        <v>150</v>
      </c>
      <c r="I19" s="173">
        <v>150</v>
      </c>
      <c r="J19" s="120"/>
      <c r="K19" s="120"/>
      <c r="L19" s="120"/>
      <c r="M19" s="120"/>
      <c r="N19" s="120"/>
      <c r="O19" s="120"/>
      <c r="P19" s="120"/>
      <c r="Q19" s="120"/>
    </row>
    <row r="20" spans="1:17" s="139" customFormat="1" x14ac:dyDescent="0.25">
      <c r="A20" s="161"/>
      <c r="B20" s="179">
        <v>6414</v>
      </c>
      <c r="C20" s="193"/>
      <c r="D20" s="164" t="s">
        <v>585</v>
      </c>
      <c r="E20" s="165">
        <f>E21</f>
        <v>16.75</v>
      </c>
      <c r="F20" s="165">
        <f t="shared" ref="F20:I20" si="12">F21</f>
        <v>0</v>
      </c>
      <c r="G20" s="165">
        <f t="shared" si="12"/>
        <v>50</v>
      </c>
      <c r="H20" s="165">
        <f t="shared" si="12"/>
        <v>50</v>
      </c>
      <c r="I20" s="165">
        <f t="shared" si="12"/>
        <v>50</v>
      </c>
      <c r="J20" s="138"/>
      <c r="K20" s="138"/>
      <c r="L20" s="138"/>
      <c r="M20" s="138"/>
      <c r="N20" s="138"/>
      <c r="O20" s="138"/>
      <c r="P20" s="138"/>
      <c r="Q20" s="138"/>
    </row>
    <row r="21" spans="1:17" s="121" customFormat="1" x14ac:dyDescent="0.25">
      <c r="A21" s="140"/>
      <c r="B21" s="194">
        <v>64143</v>
      </c>
      <c r="C21" s="133"/>
      <c r="D21" s="195" t="s">
        <v>585</v>
      </c>
      <c r="E21" s="173">
        <v>16.75</v>
      </c>
      <c r="F21" s="173"/>
      <c r="G21" s="173">
        <v>50</v>
      </c>
      <c r="H21" s="173">
        <v>50</v>
      </c>
      <c r="I21" s="173">
        <v>50</v>
      </c>
      <c r="J21" s="120"/>
      <c r="K21" s="120"/>
      <c r="L21" s="120"/>
      <c r="M21" s="120"/>
      <c r="N21" s="120"/>
      <c r="O21" s="120"/>
      <c r="P21" s="120"/>
      <c r="Q21" s="120"/>
    </row>
    <row r="22" spans="1:17" s="121" customFormat="1" x14ac:dyDescent="0.25">
      <c r="A22" s="140"/>
      <c r="B22" s="179">
        <v>6419</v>
      </c>
      <c r="C22" s="193"/>
      <c r="D22" s="164" t="s">
        <v>44</v>
      </c>
      <c r="E22" s="173"/>
      <c r="F22" s="173"/>
      <c r="G22" s="173"/>
      <c r="H22" s="173"/>
      <c r="I22" s="173"/>
      <c r="J22" s="120"/>
      <c r="K22" s="120"/>
      <c r="L22" s="120"/>
      <c r="M22" s="120"/>
      <c r="N22" s="120"/>
      <c r="O22" s="120"/>
      <c r="P22" s="120"/>
      <c r="Q22" s="120"/>
    </row>
    <row r="23" spans="1:17" s="121" customFormat="1" x14ac:dyDescent="0.25">
      <c r="A23" s="140"/>
      <c r="B23" s="179">
        <v>6429</v>
      </c>
      <c r="C23" s="193"/>
      <c r="D23" s="164" t="s">
        <v>58</v>
      </c>
      <c r="E23" s="81"/>
      <c r="F23" s="81"/>
      <c r="G23" s="81"/>
      <c r="H23" s="173"/>
      <c r="I23" s="173"/>
      <c r="J23" s="120"/>
      <c r="K23" s="120"/>
      <c r="L23" s="120"/>
      <c r="M23" s="120"/>
      <c r="N23" s="120"/>
      <c r="O23" s="120"/>
      <c r="P23" s="120"/>
      <c r="Q23" s="120"/>
    </row>
    <row r="24" spans="1:17" s="121" customFormat="1" ht="31.5" x14ac:dyDescent="0.25">
      <c r="A24" s="161"/>
      <c r="B24" s="141">
        <v>66</v>
      </c>
      <c r="C24" s="142"/>
      <c r="D24" s="143" t="s">
        <v>59</v>
      </c>
      <c r="E24" s="196">
        <f t="shared" ref="E24:I24" si="13">SUM(E25)</f>
        <v>140153.61000000002</v>
      </c>
      <c r="F24" s="196">
        <f t="shared" si="13"/>
        <v>199083.29</v>
      </c>
      <c r="G24" s="196">
        <f t="shared" si="13"/>
        <v>163116.33000000002</v>
      </c>
      <c r="H24" s="196">
        <f t="shared" si="13"/>
        <v>163116.33000000002</v>
      </c>
      <c r="I24" s="196">
        <f t="shared" si="13"/>
        <v>163116.33000000002</v>
      </c>
      <c r="J24" s="120"/>
      <c r="K24" s="120"/>
      <c r="L24" s="120"/>
      <c r="M24" s="120"/>
      <c r="N24" s="120"/>
      <c r="O24" s="120"/>
      <c r="P24" s="120"/>
      <c r="Q24" s="120"/>
    </row>
    <row r="25" spans="1:17" s="121" customFormat="1" x14ac:dyDescent="0.25">
      <c r="A25" s="161"/>
      <c r="B25" s="166" t="s">
        <v>60</v>
      </c>
      <c r="C25" s="167"/>
      <c r="D25" s="168" t="s">
        <v>61</v>
      </c>
      <c r="E25" s="197">
        <f t="shared" ref="E25" si="14">SUM(E26:E27)</f>
        <v>140153.61000000002</v>
      </c>
      <c r="F25" s="197">
        <f t="shared" ref="F25:I25" si="15">SUM(F26:F27)</f>
        <v>199083.29</v>
      </c>
      <c r="G25" s="197">
        <f t="shared" si="15"/>
        <v>163116.33000000002</v>
      </c>
      <c r="H25" s="197">
        <f t="shared" si="15"/>
        <v>163116.33000000002</v>
      </c>
      <c r="I25" s="197">
        <f t="shared" si="15"/>
        <v>163116.33000000002</v>
      </c>
      <c r="J25" s="120"/>
      <c r="K25" s="120"/>
      <c r="L25" s="120"/>
      <c r="M25" s="120"/>
      <c r="N25" s="120"/>
      <c r="O25" s="120"/>
      <c r="P25" s="120"/>
      <c r="Q25" s="120"/>
    </row>
    <row r="26" spans="1:17" s="121" customFormat="1" x14ac:dyDescent="0.25">
      <c r="A26" s="161"/>
      <c r="B26" s="166" t="s">
        <v>62</v>
      </c>
      <c r="C26" s="167"/>
      <c r="D26" s="168" t="s">
        <v>63</v>
      </c>
      <c r="E26" s="198"/>
      <c r="F26" s="198"/>
      <c r="G26" s="198"/>
      <c r="H26" s="198"/>
      <c r="I26" s="198"/>
      <c r="J26" s="120"/>
      <c r="K26" s="120"/>
      <c r="L26" s="120"/>
      <c r="M26" s="120"/>
      <c r="N26" s="120"/>
      <c r="O26" s="120"/>
      <c r="P26" s="120"/>
      <c r="Q26" s="120"/>
    </row>
    <row r="27" spans="1:17" s="121" customFormat="1" x14ac:dyDescent="0.25">
      <c r="A27" s="161"/>
      <c r="B27" s="166" t="s">
        <v>64</v>
      </c>
      <c r="C27" s="167"/>
      <c r="D27" s="168" t="s">
        <v>65</v>
      </c>
      <c r="E27" s="197">
        <f>SUM(E28:E29)</f>
        <v>140153.61000000002</v>
      </c>
      <c r="F27" s="197">
        <f t="shared" ref="F27:I27" si="16">SUM(F28:F29)</f>
        <v>199083.29</v>
      </c>
      <c r="G27" s="197">
        <f t="shared" si="16"/>
        <v>163116.33000000002</v>
      </c>
      <c r="H27" s="197">
        <f t="shared" si="16"/>
        <v>163116.33000000002</v>
      </c>
      <c r="I27" s="197">
        <f t="shared" si="16"/>
        <v>163116.33000000002</v>
      </c>
      <c r="J27" s="120"/>
      <c r="K27" s="120"/>
      <c r="L27" s="120"/>
      <c r="M27" s="120"/>
      <c r="N27" s="120"/>
      <c r="O27" s="120"/>
      <c r="P27" s="120"/>
      <c r="Q27" s="120"/>
    </row>
    <row r="28" spans="1:17" s="139" customFormat="1" x14ac:dyDescent="0.25">
      <c r="A28" s="140"/>
      <c r="B28" s="170" t="s">
        <v>491</v>
      </c>
      <c r="C28" s="190"/>
      <c r="D28" s="171" t="s">
        <v>65</v>
      </c>
      <c r="E28" s="199">
        <v>139946.23000000001</v>
      </c>
      <c r="F28" s="199">
        <v>199083.29</v>
      </c>
      <c r="G28" s="199">
        <v>163116.33000000002</v>
      </c>
      <c r="H28" s="198">
        <v>163116.33000000002</v>
      </c>
      <c r="I28" s="173">
        <v>163116.33000000002</v>
      </c>
      <c r="J28" s="138"/>
      <c r="K28" s="138"/>
      <c r="L28" s="138"/>
      <c r="M28" s="138"/>
      <c r="N28" s="138"/>
      <c r="O28" s="138"/>
      <c r="P28" s="138"/>
      <c r="Q28" s="138"/>
    </row>
    <row r="29" spans="1:17" s="139" customFormat="1" x14ac:dyDescent="0.25">
      <c r="A29" s="140"/>
      <c r="B29" s="170" t="s">
        <v>586</v>
      </c>
      <c r="C29" s="190"/>
      <c r="D29" s="171" t="s">
        <v>587</v>
      </c>
      <c r="E29" s="199">
        <v>207.38</v>
      </c>
      <c r="F29" s="199"/>
      <c r="G29" s="199"/>
      <c r="H29" s="198"/>
      <c r="I29" s="173"/>
      <c r="J29" s="138"/>
      <c r="K29" s="138"/>
      <c r="L29" s="138"/>
      <c r="M29" s="138"/>
      <c r="N29" s="138"/>
      <c r="O29" s="138"/>
      <c r="P29" s="138"/>
      <c r="Q29" s="138"/>
    </row>
    <row r="30" spans="1:17" s="139" customFormat="1" x14ac:dyDescent="0.25">
      <c r="A30" s="161"/>
      <c r="B30" s="141" t="s">
        <v>51</v>
      </c>
      <c r="C30" s="142"/>
      <c r="D30" s="143" t="s">
        <v>52</v>
      </c>
      <c r="E30" s="196">
        <f t="shared" ref="E30:I31" si="17">SUM(E31)</f>
        <v>0</v>
      </c>
      <c r="F30" s="196">
        <f t="shared" si="17"/>
        <v>0</v>
      </c>
      <c r="G30" s="196">
        <f t="shared" si="17"/>
        <v>0</v>
      </c>
      <c r="H30" s="196">
        <f t="shared" si="17"/>
        <v>0</v>
      </c>
      <c r="I30" s="196">
        <f t="shared" si="17"/>
        <v>0</v>
      </c>
      <c r="J30" s="138"/>
      <c r="K30" s="138"/>
      <c r="L30" s="138"/>
      <c r="M30" s="138"/>
      <c r="N30" s="138"/>
      <c r="O30" s="138"/>
      <c r="P30" s="138"/>
      <c r="Q30" s="138"/>
    </row>
    <row r="31" spans="1:17" s="139" customFormat="1" x14ac:dyDescent="0.25">
      <c r="A31" s="161"/>
      <c r="B31" s="166" t="s">
        <v>53</v>
      </c>
      <c r="C31" s="167"/>
      <c r="D31" s="168" t="s">
        <v>54</v>
      </c>
      <c r="E31" s="197">
        <f t="shared" si="17"/>
        <v>0</v>
      </c>
      <c r="F31" s="197">
        <f t="shared" si="17"/>
        <v>0</v>
      </c>
      <c r="G31" s="197">
        <f t="shared" si="17"/>
        <v>0</v>
      </c>
      <c r="H31" s="197">
        <f t="shared" si="17"/>
        <v>0</v>
      </c>
      <c r="I31" s="197">
        <f t="shared" si="17"/>
        <v>0</v>
      </c>
      <c r="J31" s="138"/>
      <c r="K31" s="138"/>
      <c r="L31" s="138"/>
      <c r="M31" s="138"/>
      <c r="N31" s="138"/>
      <c r="O31" s="138"/>
      <c r="P31" s="138"/>
      <c r="Q31" s="138"/>
    </row>
    <row r="32" spans="1:17" s="139" customFormat="1" x14ac:dyDescent="0.25">
      <c r="A32" s="140"/>
      <c r="B32" s="166" t="s">
        <v>55</v>
      </c>
      <c r="C32" s="167"/>
      <c r="D32" s="168" t="s">
        <v>54</v>
      </c>
      <c r="E32" s="197"/>
      <c r="F32" s="197"/>
      <c r="G32" s="197"/>
      <c r="H32" s="197"/>
      <c r="I32" s="165"/>
      <c r="J32" s="138"/>
      <c r="K32" s="138"/>
      <c r="L32" s="138"/>
      <c r="M32" s="138"/>
      <c r="N32" s="138"/>
      <c r="O32" s="138"/>
      <c r="P32" s="138"/>
      <c r="Q32" s="138"/>
    </row>
    <row r="33" spans="1:17" s="201" customFormat="1" x14ac:dyDescent="0.25">
      <c r="A33" s="154"/>
      <c r="B33" s="155"/>
      <c r="C33" s="156" t="s">
        <v>66</v>
      </c>
      <c r="D33" s="157" t="s">
        <v>67</v>
      </c>
      <c r="E33" s="158">
        <f t="shared" ref="E33:I33" si="18">E16+E24+E30</f>
        <v>140194.37000000002</v>
      </c>
      <c r="F33" s="158">
        <f t="shared" si="18"/>
        <v>199283.29</v>
      </c>
      <c r="G33" s="158">
        <f t="shared" si="18"/>
        <v>163316.33000000002</v>
      </c>
      <c r="H33" s="158">
        <f t="shared" si="18"/>
        <v>163316.33000000002</v>
      </c>
      <c r="I33" s="158">
        <f t="shared" si="18"/>
        <v>163316.33000000002</v>
      </c>
      <c r="J33" s="200"/>
      <c r="K33" s="200"/>
      <c r="L33" s="200"/>
      <c r="M33" s="200"/>
      <c r="N33" s="200"/>
      <c r="O33" s="200"/>
      <c r="P33" s="200"/>
      <c r="Q33" s="200"/>
    </row>
    <row r="34" spans="1:17" s="160" customFormat="1" x14ac:dyDescent="0.25">
      <c r="A34" s="154"/>
      <c r="B34" s="175">
        <v>64</v>
      </c>
      <c r="C34" s="176"/>
      <c r="D34" s="177" t="s">
        <v>42</v>
      </c>
      <c r="E34" s="178">
        <f t="shared" ref="E34:F34" si="19">SUM(E35)</f>
        <v>0</v>
      </c>
      <c r="F34" s="178">
        <f t="shared" si="19"/>
        <v>0</v>
      </c>
      <c r="G34" s="178">
        <f>SUM(G35)</f>
        <v>0</v>
      </c>
      <c r="H34" s="178">
        <f>SUM(H35)</f>
        <v>0</v>
      </c>
      <c r="I34" s="178">
        <f>SUM(I35)</f>
        <v>0</v>
      </c>
      <c r="J34" s="159"/>
      <c r="K34" s="174"/>
      <c r="L34" s="159"/>
      <c r="M34" s="159"/>
      <c r="N34" s="159"/>
      <c r="O34" s="159"/>
      <c r="P34" s="159"/>
      <c r="Q34" s="159"/>
    </row>
    <row r="35" spans="1:17" s="160" customFormat="1" x14ac:dyDescent="0.25">
      <c r="A35" s="154"/>
      <c r="B35" s="179">
        <v>641</v>
      </c>
      <c r="C35" s="180"/>
      <c r="D35" s="164" t="s">
        <v>43</v>
      </c>
      <c r="E35" s="165">
        <f t="shared" ref="E35:F35" si="20">SUM(E36:E36)</f>
        <v>0</v>
      </c>
      <c r="F35" s="165">
        <f t="shared" si="20"/>
        <v>0</v>
      </c>
      <c r="G35" s="165">
        <f>SUM(G36:G36)</f>
        <v>0</v>
      </c>
      <c r="H35" s="165">
        <f>SUM(H36:H36)</f>
        <v>0</v>
      </c>
      <c r="I35" s="165">
        <f>SUM(I36:I36)</f>
        <v>0</v>
      </c>
      <c r="J35" s="159"/>
      <c r="K35" s="174"/>
      <c r="L35" s="159"/>
      <c r="M35" s="159"/>
      <c r="N35" s="159"/>
      <c r="O35" s="159"/>
      <c r="P35" s="159"/>
      <c r="Q35" s="159"/>
    </row>
    <row r="36" spans="1:17" s="160" customFormat="1" x14ac:dyDescent="0.25">
      <c r="A36" s="154"/>
      <c r="B36" s="179">
        <v>6419</v>
      </c>
      <c r="C36" s="180"/>
      <c r="D36" s="164" t="s">
        <v>44</v>
      </c>
      <c r="E36" s="165"/>
      <c r="F36" s="165"/>
      <c r="G36" s="165"/>
      <c r="H36" s="165"/>
      <c r="I36" s="165"/>
      <c r="J36" s="159"/>
      <c r="K36" s="174"/>
      <c r="L36" s="159"/>
      <c r="M36" s="159"/>
      <c r="N36" s="159"/>
      <c r="O36" s="159"/>
      <c r="P36" s="159"/>
      <c r="Q36" s="159"/>
    </row>
    <row r="37" spans="1:17" s="121" customFormat="1" ht="31.5" x14ac:dyDescent="0.25">
      <c r="A37" s="161"/>
      <c r="B37" s="181">
        <v>65</v>
      </c>
      <c r="C37" s="182"/>
      <c r="D37" s="183" t="s">
        <v>45</v>
      </c>
      <c r="E37" s="144">
        <f t="shared" ref="E37:I38" si="21">SUM(E38)</f>
        <v>69787.179999999993</v>
      </c>
      <c r="F37" s="144">
        <f t="shared" si="21"/>
        <v>47500</v>
      </c>
      <c r="G37" s="144">
        <f t="shared" si="21"/>
        <v>58500</v>
      </c>
      <c r="H37" s="144">
        <f t="shared" si="21"/>
        <v>62375</v>
      </c>
      <c r="I37" s="144">
        <f t="shared" si="21"/>
        <v>65369</v>
      </c>
      <c r="J37" s="120"/>
      <c r="K37" s="120"/>
      <c r="L37" s="120"/>
      <c r="M37" s="120"/>
      <c r="N37" s="120"/>
      <c r="O37" s="120"/>
      <c r="P37" s="120"/>
      <c r="Q37" s="120"/>
    </row>
    <row r="38" spans="1:17" s="121" customFormat="1" x14ac:dyDescent="0.25">
      <c r="A38" s="161"/>
      <c r="B38" s="184">
        <v>652</v>
      </c>
      <c r="C38" s="185"/>
      <c r="D38" s="186" t="s">
        <v>46</v>
      </c>
      <c r="E38" s="169">
        <f t="shared" si="21"/>
        <v>69787.179999999993</v>
      </c>
      <c r="F38" s="169">
        <f t="shared" si="21"/>
        <v>47500</v>
      </c>
      <c r="G38" s="169">
        <f t="shared" si="21"/>
        <v>58500</v>
      </c>
      <c r="H38" s="169">
        <f t="shared" si="21"/>
        <v>62375</v>
      </c>
      <c r="I38" s="169">
        <f t="shared" si="21"/>
        <v>65369</v>
      </c>
      <c r="J38" s="120"/>
      <c r="K38" s="120"/>
      <c r="L38" s="120"/>
      <c r="M38" s="120"/>
      <c r="N38" s="120"/>
      <c r="O38" s="120"/>
      <c r="P38" s="120"/>
      <c r="Q38" s="120"/>
    </row>
    <row r="39" spans="1:17" s="121" customFormat="1" x14ac:dyDescent="0.25">
      <c r="A39" s="161"/>
      <c r="B39" s="184">
        <v>6526</v>
      </c>
      <c r="C39" s="185"/>
      <c r="D39" s="186" t="s">
        <v>47</v>
      </c>
      <c r="E39" s="169">
        <f t="shared" ref="E39" si="22">SUM(E40:E41)</f>
        <v>69787.179999999993</v>
      </c>
      <c r="F39" s="169">
        <f t="shared" ref="F39:I39" si="23">SUM(F40:F41)</f>
        <v>47500</v>
      </c>
      <c r="G39" s="169">
        <f t="shared" si="23"/>
        <v>58500</v>
      </c>
      <c r="H39" s="169">
        <f t="shared" si="23"/>
        <v>62375</v>
      </c>
      <c r="I39" s="169">
        <f t="shared" si="23"/>
        <v>65369</v>
      </c>
      <c r="J39" s="120"/>
      <c r="K39" s="120"/>
      <c r="L39" s="120"/>
      <c r="M39" s="120"/>
      <c r="N39" s="120"/>
      <c r="O39" s="120"/>
      <c r="P39" s="120"/>
      <c r="Q39" s="120"/>
    </row>
    <row r="40" spans="1:17" s="121" customFormat="1" x14ac:dyDescent="0.25">
      <c r="A40" s="161"/>
      <c r="B40" s="187">
        <v>65264</v>
      </c>
      <c r="C40" s="188"/>
      <c r="D40" s="189" t="s">
        <v>481</v>
      </c>
      <c r="E40" s="173">
        <v>51154.92</v>
      </c>
      <c r="F40" s="173">
        <v>44000</v>
      </c>
      <c r="G40" s="173">
        <v>55000</v>
      </c>
      <c r="H40" s="172">
        <v>57500</v>
      </c>
      <c r="I40" s="172">
        <v>60000</v>
      </c>
      <c r="J40" s="120"/>
      <c r="K40" s="120"/>
      <c r="L40" s="120"/>
      <c r="M40" s="120"/>
      <c r="N40" s="120"/>
      <c r="O40" s="120"/>
      <c r="P40" s="120"/>
      <c r="Q40" s="120"/>
    </row>
    <row r="41" spans="1:17" s="139" customFormat="1" x14ac:dyDescent="0.25">
      <c r="A41" s="140"/>
      <c r="B41" s="187">
        <v>65269</v>
      </c>
      <c r="C41" s="188"/>
      <c r="D41" s="189" t="s">
        <v>483</v>
      </c>
      <c r="E41" s="172">
        <v>18632.259999999998</v>
      </c>
      <c r="F41" s="172">
        <v>3500</v>
      </c>
      <c r="G41" s="172">
        <v>3500</v>
      </c>
      <c r="H41" s="172">
        <v>4875</v>
      </c>
      <c r="I41" s="173">
        <v>5369</v>
      </c>
      <c r="J41" s="138"/>
      <c r="K41" s="138"/>
      <c r="L41" s="138"/>
      <c r="M41" s="138"/>
      <c r="N41" s="138"/>
      <c r="O41" s="138"/>
      <c r="P41" s="138"/>
      <c r="Q41" s="138"/>
    </row>
    <row r="42" spans="1:17" s="139" customFormat="1" ht="31.5" x14ac:dyDescent="0.25">
      <c r="A42" s="140"/>
      <c r="B42" s="141">
        <v>67</v>
      </c>
      <c r="C42" s="142"/>
      <c r="D42" s="143" t="s">
        <v>8</v>
      </c>
      <c r="E42" s="144">
        <f t="shared" ref="E42" si="24">SUM(E43,E46)</f>
        <v>4148754.73</v>
      </c>
      <c r="F42" s="144">
        <f t="shared" ref="F42:I42" si="25">SUM(F43,F46)</f>
        <v>3899096.66</v>
      </c>
      <c r="G42" s="144">
        <f t="shared" si="25"/>
        <v>4599086.9000000004</v>
      </c>
      <c r="H42" s="144">
        <f t="shared" si="25"/>
        <v>5137268.3499999996</v>
      </c>
      <c r="I42" s="144">
        <f t="shared" si="25"/>
        <v>5405449.7999999998</v>
      </c>
      <c r="J42" s="138"/>
      <c r="K42" s="138"/>
      <c r="L42" s="138"/>
      <c r="M42" s="138"/>
      <c r="N42" s="138"/>
      <c r="O42" s="138"/>
      <c r="P42" s="138"/>
      <c r="Q42" s="138"/>
    </row>
    <row r="43" spans="1:17" s="139" customFormat="1" ht="31.5" hidden="1" x14ac:dyDescent="0.25">
      <c r="A43" s="140"/>
      <c r="B43" s="145" t="s">
        <v>9</v>
      </c>
      <c r="C43" s="146"/>
      <c r="D43" s="147" t="s">
        <v>10</v>
      </c>
      <c r="E43" s="148">
        <f t="shared" ref="E43" si="26">SUM(E44:E45)</f>
        <v>0</v>
      </c>
      <c r="F43" s="148">
        <f t="shared" ref="F43:I43" si="27">SUM(F44:F45)</f>
        <v>0</v>
      </c>
      <c r="G43" s="148">
        <f t="shared" si="27"/>
        <v>0</v>
      </c>
      <c r="H43" s="148">
        <f t="shared" si="27"/>
        <v>0</v>
      </c>
      <c r="I43" s="148">
        <f t="shared" si="27"/>
        <v>0</v>
      </c>
      <c r="J43" s="138"/>
      <c r="K43" s="138"/>
      <c r="L43" s="138"/>
      <c r="M43" s="138"/>
      <c r="N43" s="138"/>
      <c r="O43" s="138"/>
      <c r="P43" s="138"/>
      <c r="Q43" s="138"/>
    </row>
    <row r="44" spans="1:17" s="139" customFormat="1" ht="31.5" hidden="1" x14ac:dyDescent="0.25">
      <c r="A44" s="140"/>
      <c r="B44" s="150" t="s">
        <v>11</v>
      </c>
      <c r="C44" s="151"/>
      <c r="D44" s="152" t="s">
        <v>12</v>
      </c>
      <c r="E44" s="153">
        <v>0</v>
      </c>
      <c r="F44" s="153">
        <v>0</v>
      </c>
      <c r="G44" s="153">
        <v>0</v>
      </c>
      <c r="H44" s="153">
        <v>0</v>
      </c>
      <c r="I44" s="153">
        <v>0</v>
      </c>
      <c r="J44" s="138"/>
      <c r="K44" s="138"/>
      <c r="L44" s="138"/>
      <c r="M44" s="138"/>
      <c r="N44" s="138"/>
      <c r="O44" s="138"/>
      <c r="P44" s="138"/>
      <c r="Q44" s="138"/>
    </row>
    <row r="45" spans="1:17" s="139" customFormat="1" ht="31.5" hidden="1" x14ac:dyDescent="0.25">
      <c r="A45" s="140"/>
      <c r="B45" s="150" t="s">
        <v>13</v>
      </c>
      <c r="C45" s="151"/>
      <c r="D45" s="152" t="s">
        <v>14</v>
      </c>
      <c r="E45" s="153">
        <v>0</v>
      </c>
      <c r="F45" s="153">
        <v>0</v>
      </c>
      <c r="G45" s="153">
        <v>0</v>
      </c>
      <c r="H45" s="153">
        <v>0</v>
      </c>
      <c r="I45" s="153">
        <v>0</v>
      </c>
      <c r="J45" s="138"/>
      <c r="K45" s="138"/>
      <c r="L45" s="138"/>
      <c r="M45" s="138"/>
      <c r="N45" s="138"/>
      <c r="O45" s="138"/>
      <c r="P45" s="138"/>
      <c r="Q45" s="138"/>
    </row>
    <row r="46" spans="1:17" s="139" customFormat="1" x14ac:dyDescent="0.25">
      <c r="A46" s="140"/>
      <c r="B46" s="166" t="s">
        <v>48</v>
      </c>
      <c r="C46" s="167"/>
      <c r="D46" s="168" t="s">
        <v>49</v>
      </c>
      <c r="E46" s="169">
        <f t="shared" ref="E46:I47" si="28">SUM(E47)</f>
        <v>4148754.73</v>
      </c>
      <c r="F46" s="169">
        <f t="shared" si="28"/>
        <v>3899096.66</v>
      </c>
      <c r="G46" s="169">
        <f t="shared" si="28"/>
        <v>4599086.9000000004</v>
      </c>
      <c r="H46" s="169">
        <f t="shared" si="28"/>
        <v>5137268.3499999996</v>
      </c>
      <c r="I46" s="169">
        <f t="shared" si="28"/>
        <v>5405449.7999999998</v>
      </c>
      <c r="J46" s="138"/>
      <c r="K46" s="138"/>
      <c r="L46" s="138"/>
      <c r="M46" s="138"/>
      <c r="N46" s="138"/>
      <c r="O46" s="138"/>
      <c r="P46" s="138"/>
      <c r="Q46" s="138"/>
    </row>
    <row r="47" spans="1:17" s="139" customFormat="1" x14ac:dyDescent="0.25">
      <c r="A47" s="140"/>
      <c r="B47" s="166" t="s">
        <v>50</v>
      </c>
      <c r="C47" s="167"/>
      <c r="D47" s="168" t="s">
        <v>49</v>
      </c>
      <c r="E47" s="169">
        <f t="shared" si="28"/>
        <v>4148754.73</v>
      </c>
      <c r="F47" s="169">
        <f t="shared" si="28"/>
        <v>3899096.66</v>
      </c>
      <c r="G47" s="169">
        <f t="shared" si="28"/>
        <v>4599086.9000000004</v>
      </c>
      <c r="H47" s="169">
        <f t="shared" si="28"/>
        <v>5137268.3499999996</v>
      </c>
      <c r="I47" s="169">
        <f t="shared" si="28"/>
        <v>5405449.7999999998</v>
      </c>
      <c r="J47" s="138"/>
      <c r="K47" s="138"/>
      <c r="L47" s="138"/>
      <c r="M47" s="138"/>
      <c r="N47" s="138"/>
      <c r="O47" s="138"/>
      <c r="P47" s="138"/>
      <c r="Q47" s="138"/>
    </row>
    <row r="48" spans="1:17" s="139" customFormat="1" x14ac:dyDescent="0.25">
      <c r="A48" s="140"/>
      <c r="B48" s="170" t="s">
        <v>489</v>
      </c>
      <c r="C48" s="190"/>
      <c r="D48" s="171" t="s">
        <v>49</v>
      </c>
      <c r="E48" s="172">
        <v>4148754.73</v>
      </c>
      <c r="F48" s="172">
        <v>3899096.66</v>
      </c>
      <c r="G48" s="172">
        <v>4599086.9000000004</v>
      </c>
      <c r="H48" s="172">
        <v>5137268.3499999996</v>
      </c>
      <c r="I48" s="173">
        <v>5405449.7999999998</v>
      </c>
      <c r="J48" s="149"/>
      <c r="K48" s="138"/>
      <c r="L48" s="138"/>
      <c r="M48" s="138"/>
      <c r="N48" s="138"/>
      <c r="O48" s="138"/>
      <c r="P48" s="138"/>
      <c r="Q48" s="138"/>
    </row>
    <row r="49" spans="1:17" s="139" customFormat="1" x14ac:dyDescent="0.25">
      <c r="A49" s="140"/>
      <c r="B49" s="141" t="s">
        <v>51</v>
      </c>
      <c r="C49" s="142"/>
      <c r="D49" s="143" t="s">
        <v>52</v>
      </c>
      <c r="E49" s="144">
        <f t="shared" ref="E49:I51" si="29">SUM(E50)</f>
        <v>712.71</v>
      </c>
      <c r="F49" s="144">
        <f t="shared" si="29"/>
        <v>3000</v>
      </c>
      <c r="G49" s="144">
        <f t="shared" si="29"/>
        <v>3000</v>
      </c>
      <c r="H49" s="144">
        <f t="shared" si="29"/>
        <v>3000</v>
      </c>
      <c r="I49" s="144">
        <f t="shared" si="29"/>
        <v>3000</v>
      </c>
      <c r="J49" s="138"/>
      <c r="K49" s="138"/>
      <c r="L49" s="138"/>
      <c r="M49" s="138"/>
      <c r="N49" s="138"/>
      <c r="O49" s="138"/>
      <c r="P49" s="138"/>
      <c r="Q49" s="138"/>
    </row>
    <row r="50" spans="1:17" s="139" customFormat="1" x14ac:dyDescent="0.25">
      <c r="A50" s="140"/>
      <c r="B50" s="166" t="s">
        <v>53</v>
      </c>
      <c r="C50" s="167"/>
      <c r="D50" s="191" t="s">
        <v>54</v>
      </c>
      <c r="E50" s="169">
        <f t="shared" si="29"/>
        <v>712.71</v>
      </c>
      <c r="F50" s="169">
        <f t="shared" si="29"/>
        <v>3000</v>
      </c>
      <c r="G50" s="169">
        <f t="shared" si="29"/>
        <v>3000</v>
      </c>
      <c r="H50" s="169">
        <f t="shared" si="29"/>
        <v>3000</v>
      </c>
      <c r="I50" s="169">
        <f t="shared" si="29"/>
        <v>3000</v>
      </c>
      <c r="J50" s="138"/>
      <c r="K50" s="138"/>
      <c r="L50" s="138"/>
      <c r="M50" s="138"/>
      <c r="N50" s="138"/>
      <c r="O50" s="138"/>
      <c r="P50" s="138"/>
      <c r="Q50" s="138"/>
    </row>
    <row r="51" spans="1:17" s="139" customFormat="1" x14ac:dyDescent="0.25">
      <c r="A51" s="140"/>
      <c r="B51" s="166" t="s">
        <v>55</v>
      </c>
      <c r="C51" s="167"/>
      <c r="D51" s="191" t="s">
        <v>54</v>
      </c>
      <c r="E51" s="169">
        <f t="shared" si="29"/>
        <v>712.71</v>
      </c>
      <c r="F51" s="169">
        <f t="shared" si="29"/>
        <v>3000</v>
      </c>
      <c r="G51" s="169">
        <f t="shared" si="29"/>
        <v>3000</v>
      </c>
      <c r="H51" s="169">
        <f t="shared" si="29"/>
        <v>3000</v>
      </c>
      <c r="I51" s="169">
        <f t="shared" si="29"/>
        <v>3000</v>
      </c>
      <c r="J51" s="138"/>
      <c r="K51" s="138"/>
      <c r="L51" s="138"/>
      <c r="M51" s="138"/>
      <c r="N51" s="138"/>
      <c r="O51" s="138"/>
      <c r="P51" s="138"/>
      <c r="Q51" s="138"/>
    </row>
    <row r="52" spans="1:17" s="139" customFormat="1" x14ac:dyDescent="0.25">
      <c r="A52" s="140"/>
      <c r="B52" s="170" t="s">
        <v>490</v>
      </c>
      <c r="C52" s="190"/>
      <c r="D52" s="192" t="s">
        <v>54</v>
      </c>
      <c r="E52" s="172">
        <v>712.71</v>
      </c>
      <c r="F52" s="172">
        <v>3000</v>
      </c>
      <c r="G52" s="172">
        <v>3000</v>
      </c>
      <c r="H52" s="172">
        <v>3000</v>
      </c>
      <c r="I52" s="173">
        <v>3000</v>
      </c>
      <c r="J52" s="138"/>
      <c r="K52" s="138"/>
      <c r="L52" s="138"/>
      <c r="M52" s="138"/>
      <c r="N52" s="138"/>
      <c r="O52" s="138"/>
      <c r="P52" s="138"/>
      <c r="Q52" s="138"/>
    </row>
    <row r="53" spans="1:17" s="160" customFormat="1" x14ac:dyDescent="0.25">
      <c r="A53" s="154"/>
      <c r="B53" s="179"/>
      <c r="C53" s="156">
        <v>43</v>
      </c>
      <c r="D53" s="157" t="s">
        <v>56</v>
      </c>
      <c r="E53" s="158">
        <f t="shared" ref="E53" si="30">SUM(E34,E37,E42,E49)</f>
        <v>4219254.62</v>
      </c>
      <c r="F53" s="158">
        <f t="shared" ref="F53:I53" si="31">SUM(F34,F37,F42,F49)</f>
        <v>3949596.66</v>
      </c>
      <c r="G53" s="158">
        <f t="shared" si="31"/>
        <v>4660586.9000000004</v>
      </c>
      <c r="H53" s="158">
        <f t="shared" si="31"/>
        <v>5202643.3499999996</v>
      </c>
      <c r="I53" s="158">
        <f t="shared" si="31"/>
        <v>5473818.7999999998</v>
      </c>
      <c r="J53" s="159"/>
      <c r="K53" s="159"/>
      <c r="L53" s="159"/>
      <c r="M53" s="159"/>
      <c r="N53" s="159"/>
      <c r="O53" s="159"/>
      <c r="P53" s="159"/>
      <c r="Q53" s="159"/>
    </row>
    <row r="54" spans="1:17" s="121" customFormat="1" ht="31.5" x14ac:dyDescent="0.25">
      <c r="A54" s="161"/>
      <c r="B54" s="141">
        <v>63</v>
      </c>
      <c r="C54" s="142"/>
      <c r="D54" s="143" t="s">
        <v>16</v>
      </c>
      <c r="E54" s="144">
        <f t="shared" ref="E54" si="32">SUM(E55,E59,E62,E67,E71)</f>
        <v>331632.40000000002</v>
      </c>
      <c r="F54" s="144">
        <f t="shared" ref="F54:I54" si="33">SUM(F55,F59,F62,F67,F71)</f>
        <v>412013.94999999995</v>
      </c>
      <c r="G54" s="144">
        <f t="shared" si="33"/>
        <v>231423.83000000002</v>
      </c>
      <c r="H54" s="144">
        <f t="shared" si="33"/>
        <v>171724.49</v>
      </c>
      <c r="I54" s="144">
        <f t="shared" si="33"/>
        <v>171724.49</v>
      </c>
      <c r="J54" s="120"/>
      <c r="K54" s="120"/>
      <c r="L54" s="120"/>
      <c r="M54" s="120"/>
      <c r="N54" s="120"/>
      <c r="O54" s="120"/>
      <c r="P54" s="120"/>
      <c r="Q54" s="120"/>
    </row>
    <row r="55" spans="1:17" s="121" customFormat="1" x14ac:dyDescent="0.25">
      <c r="A55" s="161"/>
      <c r="B55" s="162" t="s">
        <v>17</v>
      </c>
      <c r="C55" s="163"/>
      <c r="D55" s="164" t="s">
        <v>18</v>
      </c>
      <c r="E55" s="165">
        <f t="shared" ref="E55:I56" si="34">E56</f>
        <v>799.5</v>
      </c>
      <c r="F55" s="165">
        <f t="shared" si="34"/>
        <v>0</v>
      </c>
      <c r="G55" s="165">
        <f t="shared" si="34"/>
        <v>500</v>
      </c>
      <c r="H55" s="165">
        <f t="shared" si="34"/>
        <v>500</v>
      </c>
      <c r="I55" s="165">
        <f t="shared" si="34"/>
        <v>500</v>
      </c>
      <c r="J55" s="120"/>
      <c r="K55" s="120"/>
      <c r="L55" s="120"/>
      <c r="M55" s="120"/>
      <c r="N55" s="120"/>
      <c r="O55" s="120"/>
      <c r="P55" s="120"/>
      <c r="Q55" s="120"/>
    </row>
    <row r="56" spans="1:17" s="121" customFormat="1" x14ac:dyDescent="0.25">
      <c r="A56" s="140"/>
      <c r="B56" s="162" t="s">
        <v>19</v>
      </c>
      <c r="C56" s="163"/>
      <c r="D56" s="164" t="s">
        <v>20</v>
      </c>
      <c r="E56" s="165">
        <f>E57</f>
        <v>799.5</v>
      </c>
      <c r="F56" s="165">
        <f t="shared" si="34"/>
        <v>0</v>
      </c>
      <c r="G56" s="165">
        <f t="shared" si="34"/>
        <v>500</v>
      </c>
      <c r="H56" s="165">
        <f t="shared" si="34"/>
        <v>500</v>
      </c>
      <c r="I56" s="165">
        <f t="shared" si="34"/>
        <v>500</v>
      </c>
      <c r="J56" s="120"/>
      <c r="K56" s="120"/>
      <c r="L56" s="120"/>
      <c r="M56" s="120"/>
      <c r="N56" s="120"/>
      <c r="O56" s="120"/>
      <c r="P56" s="120"/>
      <c r="Q56" s="120"/>
    </row>
    <row r="57" spans="1:17" s="121" customFormat="1" x14ac:dyDescent="0.25">
      <c r="A57" s="140"/>
      <c r="B57" s="235" t="s">
        <v>588</v>
      </c>
      <c r="C57" s="531"/>
      <c r="D57" s="195" t="s">
        <v>589</v>
      </c>
      <c r="E57" s="173">
        <v>799.5</v>
      </c>
      <c r="F57" s="173"/>
      <c r="G57" s="173">
        <v>500</v>
      </c>
      <c r="H57" s="173">
        <v>500</v>
      </c>
      <c r="I57" s="173">
        <v>500</v>
      </c>
      <c r="J57" s="120"/>
      <c r="K57" s="120"/>
      <c r="L57" s="120"/>
      <c r="M57" s="120"/>
      <c r="N57" s="120"/>
      <c r="O57" s="120"/>
      <c r="P57" s="120"/>
      <c r="Q57" s="120"/>
    </row>
    <row r="58" spans="1:17" s="121" customFormat="1" x14ac:dyDescent="0.25">
      <c r="A58" s="140"/>
      <c r="B58" s="162" t="s">
        <v>21</v>
      </c>
      <c r="C58" s="163"/>
      <c r="D58" s="164" t="s">
        <v>22</v>
      </c>
      <c r="E58" s="165"/>
      <c r="F58" s="165"/>
      <c r="G58" s="165"/>
      <c r="H58" s="165"/>
      <c r="I58" s="165"/>
      <c r="J58" s="120"/>
      <c r="K58" s="120"/>
      <c r="L58" s="120"/>
      <c r="M58" s="120"/>
      <c r="N58" s="120"/>
      <c r="O58" s="120"/>
      <c r="P58" s="120"/>
      <c r="Q58" s="120"/>
    </row>
    <row r="59" spans="1:17" s="139" customFormat="1" x14ac:dyDescent="0.25">
      <c r="A59" s="161"/>
      <c r="B59" s="166" t="s">
        <v>23</v>
      </c>
      <c r="C59" s="167"/>
      <c r="D59" s="168" t="s">
        <v>24</v>
      </c>
      <c r="E59" s="169">
        <f t="shared" ref="E59:I60" si="35">SUM(E60)</f>
        <v>0</v>
      </c>
      <c r="F59" s="169">
        <f t="shared" si="35"/>
        <v>68314.61</v>
      </c>
      <c r="G59" s="169">
        <f t="shared" si="35"/>
        <v>68314.61</v>
      </c>
      <c r="H59" s="169">
        <f t="shared" si="35"/>
        <v>68314.61</v>
      </c>
      <c r="I59" s="169">
        <f t="shared" si="35"/>
        <v>68314.61</v>
      </c>
      <c r="J59" s="138"/>
      <c r="K59" s="138"/>
      <c r="L59" s="138"/>
      <c r="M59" s="138"/>
      <c r="N59" s="138"/>
      <c r="O59" s="138"/>
      <c r="P59" s="138"/>
      <c r="Q59" s="138"/>
    </row>
    <row r="60" spans="1:17" s="139" customFormat="1" x14ac:dyDescent="0.25">
      <c r="A60" s="161"/>
      <c r="B60" s="166" t="s">
        <v>25</v>
      </c>
      <c r="C60" s="161"/>
      <c r="D60" s="168" t="s">
        <v>26</v>
      </c>
      <c r="E60" s="169">
        <f t="shared" si="35"/>
        <v>0</v>
      </c>
      <c r="F60" s="169">
        <f t="shared" si="35"/>
        <v>68314.61</v>
      </c>
      <c r="G60" s="169">
        <f t="shared" si="35"/>
        <v>68314.61</v>
      </c>
      <c r="H60" s="169">
        <f t="shared" si="35"/>
        <v>68314.61</v>
      </c>
      <c r="I60" s="169">
        <f t="shared" si="35"/>
        <v>68314.61</v>
      </c>
      <c r="J60" s="138"/>
      <c r="K60" s="138"/>
      <c r="L60" s="138"/>
      <c r="M60" s="138"/>
      <c r="N60" s="138"/>
      <c r="O60" s="138"/>
      <c r="P60" s="138"/>
      <c r="Q60" s="138"/>
    </row>
    <row r="61" spans="1:17" s="121" customFormat="1" x14ac:dyDescent="0.25">
      <c r="A61" s="140"/>
      <c r="B61" s="170" t="s">
        <v>486</v>
      </c>
      <c r="C61" s="140"/>
      <c r="D61" s="171" t="s">
        <v>26</v>
      </c>
      <c r="E61" s="172">
        <v>0</v>
      </c>
      <c r="F61" s="172">
        <v>68314.61</v>
      </c>
      <c r="G61" s="172">
        <v>68314.61</v>
      </c>
      <c r="H61" s="172">
        <v>68314.61</v>
      </c>
      <c r="I61" s="173">
        <v>68314.61</v>
      </c>
      <c r="J61" s="120"/>
      <c r="K61" s="120"/>
      <c r="L61" s="138"/>
      <c r="M61" s="120"/>
      <c r="N61" s="120"/>
      <c r="O61" s="120"/>
      <c r="P61" s="120"/>
      <c r="Q61" s="120"/>
    </row>
    <row r="62" spans="1:17" s="121" customFormat="1" ht="15.75" customHeight="1" x14ac:dyDescent="0.25">
      <c r="A62" s="140"/>
      <c r="B62" s="166" t="s">
        <v>27</v>
      </c>
      <c r="C62" s="161"/>
      <c r="D62" s="168" t="s">
        <v>28</v>
      </c>
      <c r="E62" s="169">
        <f>SUM(E63,E65)</f>
        <v>299750</v>
      </c>
      <c r="F62" s="169">
        <f t="shared" ref="F62:I62" si="36">SUM(F63,F65)</f>
        <v>298000</v>
      </c>
      <c r="G62" s="169">
        <f t="shared" si="36"/>
        <v>14000</v>
      </c>
      <c r="H62" s="169">
        <f t="shared" si="36"/>
        <v>0</v>
      </c>
      <c r="I62" s="169">
        <f t="shared" si="36"/>
        <v>0</v>
      </c>
      <c r="J62" s="120"/>
      <c r="K62" s="120"/>
      <c r="L62" s="138"/>
      <c r="M62" s="120"/>
      <c r="N62" s="120"/>
      <c r="O62" s="120"/>
      <c r="P62" s="120"/>
      <c r="Q62" s="120"/>
    </row>
    <row r="63" spans="1:17" s="121" customFormat="1" ht="31.5" x14ac:dyDescent="0.25">
      <c r="A63" s="140"/>
      <c r="B63" s="166" t="s">
        <v>29</v>
      </c>
      <c r="C63" s="161"/>
      <c r="D63" s="168" t="s">
        <v>30</v>
      </c>
      <c r="E63" s="169">
        <f t="shared" ref="E63:I63" si="37">SUM(E64)</f>
        <v>14000</v>
      </c>
      <c r="F63" s="169">
        <f t="shared" si="37"/>
        <v>14000</v>
      </c>
      <c r="G63" s="169">
        <f t="shared" si="37"/>
        <v>14000</v>
      </c>
      <c r="H63" s="169">
        <f t="shared" si="37"/>
        <v>0</v>
      </c>
      <c r="I63" s="169">
        <f t="shared" si="37"/>
        <v>0</v>
      </c>
      <c r="J63" s="120"/>
      <c r="K63" s="120"/>
      <c r="L63" s="138"/>
      <c r="M63" s="120"/>
      <c r="N63" s="120"/>
      <c r="O63" s="120"/>
      <c r="P63" s="120"/>
      <c r="Q63" s="120"/>
    </row>
    <row r="64" spans="1:17" s="121" customFormat="1" ht="31.5" x14ac:dyDescent="0.25">
      <c r="A64" s="140"/>
      <c r="B64" s="170" t="s">
        <v>487</v>
      </c>
      <c r="C64" s="140"/>
      <c r="D64" s="171" t="s">
        <v>30</v>
      </c>
      <c r="E64" s="172">
        <v>14000</v>
      </c>
      <c r="F64" s="172">
        <v>14000</v>
      </c>
      <c r="G64" s="172">
        <v>14000</v>
      </c>
      <c r="H64" s="172">
        <v>0</v>
      </c>
      <c r="I64" s="173">
        <v>0</v>
      </c>
      <c r="J64" s="120"/>
      <c r="K64" s="120"/>
      <c r="L64" s="138"/>
      <c r="M64" s="120"/>
      <c r="N64" s="120"/>
      <c r="O64" s="120"/>
      <c r="P64" s="120"/>
      <c r="Q64" s="120"/>
    </row>
    <row r="65" spans="1:17" s="139" customFormat="1" ht="31.5" x14ac:dyDescent="0.25">
      <c r="A65" s="161"/>
      <c r="B65" s="166" t="s">
        <v>590</v>
      </c>
      <c r="C65" s="161"/>
      <c r="D65" s="168" t="s">
        <v>592</v>
      </c>
      <c r="E65" s="169">
        <f>E66</f>
        <v>285750</v>
      </c>
      <c r="F65" s="169">
        <f t="shared" ref="F65:I65" si="38">F66</f>
        <v>284000</v>
      </c>
      <c r="G65" s="169">
        <f t="shared" si="38"/>
        <v>0</v>
      </c>
      <c r="H65" s="169">
        <f t="shared" si="38"/>
        <v>0</v>
      </c>
      <c r="I65" s="169">
        <f t="shared" si="38"/>
        <v>0</v>
      </c>
      <c r="J65" s="138"/>
      <c r="K65" s="138"/>
      <c r="L65" s="138"/>
      <c r="M65" s="138"/>
      <c r="N65" s="138"/>
      <c r="O65" s="138"/>
      <c r="P65" s="138"/>
      <c r="Q65" s="138"/>
    </row>
    <row r="66" spans="1:17" s="121" customFormat="1" ht="31.5" x14ac:dyDescent="0.25">
      <c r="A66" s="140"/>
      <c r="B66" s="170" t="s">
        <v>591</v>
      </c>
      <c r="C66" s="140"/>
      <c r="D66" s="171" t="s">
        <v>592</v>
      </c>
      <c r="E66" s="172">
        <v>285750</v>
      </c>
      <c r="F66" s="172">
        <v>284000</v>
      </c>
      <c r="G66" s="172"/>
      <c r="H66" s="172"/>
      <c r="I66" s="173"/>
      <c r="J66" s="120"/>
      <c r="K66" s="120"/>
      <c r="L66" s="138"/>
      <c r="M66" s="120"/>
      <c r="N66" s="120"/>
      <c r="O66" s="120"/>
      <c r="P66" s="120"/>
      <c r="Q66" s="120"/>
    </row>
    <row r="67" spans="1:17" s="121" customFormat="1" x14ac:dyDescent="0.25">
      <c r="A67" s="140"/>
      <c r="B67" s="166" t="s">
        <v>31</v>
      </c>
      <c r="C67" s="161"/>
      <c r="D67" s="168" t="s">
        <v>32</v>
      </c>
      <c r="E67" s="169">
        <f t="shared" ref="E67" si="39">SUM(E68,E70)</f>
        <v>31082.9</v>
      </c>
      <c r="F67" s="169">
        <f t="shared" ref="F67:I67" si="40">SUM(F68,F70)</f>
        <v>45699.34</v>
      </c>
      <c r="G67" s="169">
        <f t="shared" si="40"/>
        <v>148609.22</v>
      </c>
      <c r="H67" s="169">
        <f t="shared" si="40"/>
        <v>102909.88</v>
      </c>
      <c r="I67" s="169">
        <f t="shared" si="40"/>
        <v>102909.88</v>
      </c>
      <c r="J67" s="120"/>
      <c r="K67" s="120"/>
      <c r="L67" s="138"/>
      <c r="M67" s="120"/>
      <c r="N67" s="120"/>
      <c r="O67" s="120"/>
      <c r="P67" s="120"/>
      <c r="Q67" s="120"/>
    </row>
    <row r="68" spans="1:17" s="121" customFormat="1" x14ac:dyDescent="0.25">
      <c r="A68" s="140"/>
      <c r="B68" s="166" t="s">
        <v>33</v>
      </c>
      <c r="C68" s="161"/>
      <c r="D68" s="168" t="s">
        <v>34</v>
      </c>
      <c r="E68" s="169">
        <f t="shared" ref="E68:I68" si="41">SUM(E69)</f>
        <v>31082.9</v>
      </c>
      <c r="F68" s="169">
        <f t="shared" si="41"/>
        <v>45699.34</v>
      </c>
      <c r="G68" s="169">
        <f t="shared" si="41"/>
        <v>148609.22</v>
      </c>
      <c r="H68" s="169">
        <f t="shared" si="41"/>
        <v>102909.88</v>
      </c>
      <c r="I68" s="169">
        <f t="shared" si="41"/>
        <v>102909.88</v>
      </c>
      <c r="J68" s="120"/>
      <c r="K68" s="120"/>
      <c r="L68" s="138"/>
      <c r="M68" s="120"/>
      <c r="N68" s="120"/>
      <c r="O68" s="120"/>
      <c r="P68" s="120"/>
      <c r="Q68" s="120"/>
    </row>
    <row r="69" spans="1:17" s="121" customFormat="1" x14ac:dyDescent="0.25">
      <c r="A69" s="140"/>
      <c r="B69" s="170" t="s">
        <v>488</v>
      </c>
      <c r="C69" s="140"/>
      <c r="D69" s="171" t="s">
        <v>34</v>
      </c>
      <c r="E69" s="172">
        <v>31082.9</v>
      </c>
      <c r="F69" s="172">
        <v>45699.34</v>
      </c>
      <c r="G69" s="172">
        <v>148609.22</v>
      </c>
      <c r="H69" s="172">
        <v>102909.88</v>
      </c>
      <c r="I69" s="173">
        <v>102909.88</v>
      </c>
      <c r="J69" s="120"/>
      <c r="K69" s="120"/>
      <c r="L69" s="120"/>
      <c r="M69" s="120"/>
      <c r="N69" s="120"/>
      <c r="O69" s="120"/>
      <c r="P69" s="120"/>
      <c r="Q69" s="120"/>
    </row>
    <row r="70" spans="1:17" s="121" customFormat="1" x14ac:dyDescent="0.25">
      <c r="A70" s="140"/>
      <c r="B70" s="166" t="s">
        <v>35</v>
      </c>
      <c r="C70" s="161"/>
      <c r="D70" s="168" t="s">
        <v>36</v>
      </c>
      <c r="E70" s="169"/>
      <c r="F70" s="169"/>
      <c r="G70" s="169"/>
      <c r="H70" s="169"/>
      <c r="I70" s="165"/>
      <c r="J70" s="120"/>
      <c r="K70" s="120"/>
      <c r="L70" s="138"/>
      <c r="M70" s="120"/>
      <c r="N70" s="120"/>
      <c r="O70" s="120"/>
      <c r="P70" s="120"/>
      <c r="Q70" s="120"/>
    </row>
    <row r="71" spans="1:17" s="139" customFormat="1" ht="15.75" customHeight="1" x14ac:dyDescent="0.25">
      <c r="A71" s="161"/>
      <c r="B71" s="166" t="s">
        <v>37</v>
      </c>
      <c r="C71" s="161"/>
      <c r="D71" s="168" t="s">
        <v>38</v>
      </c>
      <c r="E71" s="169">
        <f t="shared" ref="E71:F71" si="42">E72</f>
        <v>0</v>
      </c>
      <c r="F71" s="169">
        <f t="shared" si="42"/>
        <v>0</v>
      </c>
      <c r="G71" s="169">
        <f>G72</f>
        <v>0</v>
      </c>
      <c r="H71" s="169">
        <f>H72</f>
        <v>0</v>
      </c>
      <c r="I71" s="169">
        <f>I72</f>
        <v>0</v>
      </c>
      <c r="J71" s="138"/>
      <c r="K71" s="138"/>
      <c r="L71" s="138"/>
      <c r="M71" s="138"/>
      <c r="N71" s="138"/>
      <c r="O71" s="138"/>
      <c r="P71" s="138"/>
      <c r="Q71" s="138"/>
    </row>
    <row r="72" spans="1:17" s="121" customFormat="1" ht="31.5" x14ac:dyDescent="0.25">
      <c r="A72" s="140"/>
      <c r="B72" s="166" t="s">
        <v>39</v>
      </c>
      <c r="C72" s="161"/>
      <c r="D72" s="168" t="s">
        <v>40</v>
      </c>
      <c r="E72" s="169"/>
      <c r="F72" s="169"/>
      <c r="G72" s="169"/>
      <c r="H72" s="169"/>
      <c r="I72" s="165"/>
      <c r="J72" s="120"/>
      <c r="K72" s="120"/>
      <c r="L72" s="138"/>
      <c r="M72" s="120"/>
      <c r="N72" s="120"/>
      <c r="O72" s="120"/>
      <c r="P72" s="120"/>
      <c r="Q72" s="120"/>
    </row>
    <row r="73" spans="1:17" s="160" customFormat="1" x14ac:dyDescent="0.25">
      <c r="A73" s="154"/>
      <c r="B73" s="155"/>
      <c r="C73" s="156">
        <v>52</v>
      </c>
      <c r="D73" s="157" t="s">
        <v>41</v>
      </c>
      <c r="E73" s="158">
        <f t="shared" ref="E73" si="43">SUM(E54)</f>
        <v>331632.40000000002</v>
      </c>
      <c r="F73" s="158">
        <f t="shared" ref="F73:I73" si="44">SUM(F54)</f>
        <v>412013.94999999995</v>
      </c>
      <c r="G73" s="158">
        <f t="shared" si="44"/>
        <v>231423.83000000002</v>
      </c>
      <c r="H73" s="158">
        <f t="shared" si="44"/>
        <v>171724.49</v>
      </c>
      <c r="I73" s="158">
        <f t="shared" si="44"/>
        <v>171724.49</v>
      </c>
      <c r="J73" s="159"/>
      <c r="K73" s="174"/>
      <c r="L73" s="159"/>
      <c r="M73" s="159"/>
      <c r="N73" s="159"/>
      <c r="O73" s="159"/>
      <c r="P73" s="159"/>
      <c r="Q73" s="159"/>
    </row>
    <row r="74" spans="1:17" s="121" customFormat="1" ht="31.5" x14ac:dyDescent="0.25">
      <c r="A74" s="161"/>
      <c r="B74" s="141">
        <v>66</v>
      </c>
      <c r="C74" s="142"/>
      <c r="D74" s="143" t="s">
        <v>59</v>
      </c>
      <c r="E74" s="178">
        <f t="shared" ref="E74:I74" si="45">E75</f>
        <v>3957.25</v>
      </c>
      <c r="F74" s="178">
        <f t="shared" si="45"/>
        <v>50500</v>
      </c>
      <c r="G74" s="178">
        <f t="shared" si="45"/>
        <v>1000</v>
      </c>
      <c r="H74" s="178">
        <f t="shared" si="45"/>
        <v>1200</v>
      </c>
      <c r="I74" s="178">
        <f t="shared" si="45"/>
        <v>1400</v>
      </c>
      <c r="J74" s="120"/>
      <c r="K74" s="120"/>
      <c r="L74" s="120"/>
      <c r="M74" s="120"/>
      <c r="N74" s="120"/>
      <c r="O74" s="120"/>
      <c r="P74" s="120"/>
      <c r="Q74" s="120"/>
    </row>
    <row r="75" spans="1:17" s="203" customFormat="1" ht="31.5" x14ac:dyDescent="0.25">
      <c r="A75" s="202"/>
      <c r="B75" s="179">
        <v>663</v>
      </c>
      <c r="C75" s="180"/>
      <c r="D75" s="164" t="s">
        <v>68</v>
      </c>
      <c r="E75" s="165">
        <f t="shared" ref="E75" si="46">SUM(E76,E78)</f>
        <v>3957.25</v>
      </c>
      <c r="F75" s="165">
        <f t="shared" ref="F75:I75" si="47">SUM(F76,F78)</f>
        <v>50500</v>
      </c>
      <c r="G75" s="165">
        <f t="shared" si="47"/>
        <v>1000</v>
      </c>
      <c r="H75" s="165">
        <f t="shared" si="47"/>
        <v>1200</v>
      </c>
      <c r="I75" s="165">
        <f t="shared" si="47"/>
        <v>1400</v>
      </c>
      <c r="J75" s="120"/>
      <c r="K75" s="120"/>
      <c r="L75" s="120"/>
      <c r="M75" s="120"/>
      <c r="N75" s="120"/>
      <c r="O75" s="120"/>
      <c r="P75" s="120"/>
      <c r="Q75" s="120"/>
    </row>
    <row r="76" spans="1:17" s="203" customFormat="1" x14ac:dyDescent="0.25">
      <c r="A76" s="202"/>
      <c r="B76" s="166" t="s">
        <v>493</v>
      </c>
      <c r="C76" s="204"/>
      <c r="D76" s="147" t="s">
        <v>69</v>
      </c>
      <c r="E76" s="165">
        <f t="shared" ref="E76:I76" si="48">SUM(E77)</f>
        <v>3957.25</v>
      </c>
      <c r="F76" s="165">
        <f t="shared" si="48"/>
        <v>50500</v>
      </c>
      <c r="G76" s="165">
        <f t="shared" si="48"/>
        <v>1000</v>
      </c>
      <c r="H76" s="165">
        <f t="shared" si="48"/>
        <v>1200</v>
      </c>
      <c r="I76" s="165">
        <f t="shared" si="48"/>
        <v>1400</v>
      </c>
      <c r="J76" s="120"/>
      <c r="K76" s="120"/>
      <c r="L76" s="120"/>
      <c r="M76" s="120"/>
      <c r="N76" s="120"/>
      <c r="O76" s="120"/>
      <c r="P76" s="120"/>
      <c r="Q76" s="120"/>
    </row>
    <row r="77" spans="1:17" s="203" customFormat="1" x14ac:dyDescent="0.25">
      <c r="A77" s="202"/>
      <c r="B77" s="170" t="s">
        <v>492</v>
      </c>
      <c r="C77" s="205"/>
      <c r="D77" s="152" t="s">
        <v>69</v>
      </c>
      <c r="E77" s="173">
        <v>3957.25</v>
      </c>
      <c r="F77" s="173">
        <v>50500</v>
      </c>
      <c r="G77" s="173">
        <v>1000</v>
      </c>
      <c r="H77" s="173">
        <v>1200</v>
      </c>
      <c r="I77" s="173">
        <v>1400</v>
      </c>
      <c r="J77" s="120"/>
      <c r="K77" s="120"/>
      <c r="L77" s="120"/>
      <c r="M77" s="120"/>
      <c r="N77" s="120"/>
      <c r="O77" s="120"/>
      <c r="P77" s="120"/>
      <c r="Q77" s="120"/>
    </row>
    <row r="78" spans="1:17" s="138" customFormat="1" x14ac:dyDescent="0.25">
      <c r="A78" s="206"/>
      <c r="B78" s="166" t="s">
        <v>70</v>
      </c>
      <c r="C78" s="204"/>
      <c r="D78" s="147" t="s">
        <v>71</v>
      </c>
      <c r="E78" s="148"/>
      <c r="F78" s="148"/>
      <c r="G78" s="148"/>
      <c r="H78" s="148"/>
      <c r="I78" s="165"/>
    </row>
    <row r="79" spans="1:17" s="139" customFormat="1" x14ac:dyDescent="0.25">
      <c r="A79" s="161"/>
      <c r="B79" s="207"/>
      <c r="C79" s="156" t="s">
        <v>72</v>
      </c>
      <c r="D79" s="157" t="s">
        <v>73</v>
      </c>
      <c r="E79" s="158">
        <f t="shared" ref="E79" si="49">SUM(E74)</f>
        <v>3957.25</v>
      </c>
      <c r="F79" s="158">
        <f t="shared" ref="F79:I79" si="50">SUM(F74)</f>
        <v>50500</v>
      </c>
      <c r="G79" s="158">
        <f t="shared" si="50"/>
        <v>1000</v>
      </c>
      <c r="H79" s="158">
        <f t="shared" si="50"/>
        <v>1200</v>
      </c>
      <c r="I79" s="158">
        <f t="shared" si="50"/>
        <v>1400</v>
      </c>
      <c r="J79" s="138"/>
      <c r="K79" s="138"/>
      <c r="L79" s="138"/>
      <c r="M79" s="138"/>
      <c r="N79" s="138"/>
      <c r="O79" s="138"/>
      <c r="P79" s="138"/>
      <c r="Q79" s="138"/>
    </row>
    <row r="80" spans="1:17" s="139" customFormat="1" ht="31.5" x14ac:dyDescent="0.25">
      <c r="A80" s="161"/>
      <c r="B80" s="181">
        <v>65</v>
      </c>
      <c r="C80" s="182"/>
      <c r="D80" s="183" t="s">
        <v>45</v>
      </c>
      <c r="E80" s="406">
        <f t="shared" ref="E80:I80" si="51">SUM(E81)</f>
        <v>8798.23</v>
      </c>
      <c r="F80" s="406">
        <f t="shared" si="51"/>
        <v>5500</v>
      </c>
      <c r="G80" s="406">
        <f t="shared" si="51"/>
        <v>5500</v>
      </c>
      <c r="H80" s="406">
        <f t="shared" si="51"/>
        <v>5775</v>
      </c>
      <c r="I80" s="406">
        <f t="shared" si="51"/>
        <v>6064</v>
      </c>
      <c r="J80" s="138"/>
      <c r="K80" s="138"/>
      <c r="L80" s="138"/>
      <c r="M80" s="138"/>
      <c r="N80" s="138"/>
      <c r="O80" s="138"/>
      <c r="P80" s="138"/>
      <c r="Q80" s="138"/>
    </row>
    <row r="81" spans="1:17" s="139" customFormat="1" x14ac:dyDescent="0.25">
      <c r="A81" s="161"/>
      <c r="B81" s="184">
        <v>652</v>
      </c>
      <c r="C81" s="185"/>
      <c r="D81" s="186" t="s">
        <v>46</v>
      </c>
      <c r="E81" s="407">
        <f t="shared" ref="E81:I82" si="52">E82</f>
        <v>8798.23</v>
      </c>
      <c r="F81" s="407">
        <f t="shared" si="52"/>
        <v>5500</v>
      </c>
      <c r="G81" s="407">
        <f t="shared" si="52"/>
        <v>5500</v>
      </c>
      <c r="H81" s="407">
        <f t="shared" si="52"/>
        <v>5775</v>
      </c>
      <c r="I81" s="407">
        <f t="shared" si="52"/>
        <v>6064</v>
      </c>
      <c r="J81" s="138"/>
      <c r="K81" s="138"/>
      <c r="L81" s="138"/>
      <c r="M81" s="138"/>
      <c r="N81" s="138"/>
      <c r="O81" s="138"/>
      <c r="P81" s="138"/>
      <c r="Q81" s="138"/>
    </row>
    <row r="82" spans="1:17" s="139" customFormat="1" x14ac:dyDescent="0.25">
      <c r="A82" s="161"/>
      <c r="B82" s="184">
        <v>6526</v>
      </c>
      <c r="C82" s="185"/>
      <c r="D82" s="186" t="s">
        <v>74</v>
      </c>
      <c r="E82" s="407">
        <f t="shared" si="52"/>
        <v>8798.23</v>
      </c>
      <c r="F82" s="407">
        <f t="shared" si="52"/>
        <v>5500</v>
      </c>
      <c r="G82" s="407">
        <f t="shared" si="52"/>
        <v>5500</v>
      </c>
      <c r="H82" s="407">
        <f t="shared" si="52"/>
        <v>5775</v>
      </c>
      <c r="I82" s="407">
        <f t="shared" si="52"/>
        <v>6064</v>
      </c>
      <c r="J82" s="138"/>
      <c r="K82" s="138"/>
      <c r="L82" s="138"/>
      <c r="M82" s="138"/>
      <c r="N82" s="138"/>
      <c r="O82" s="138"/>
      <c r="P82" s="138"/>
      <c r="Q82" s="138"/>
    </row>
    <row r="83" spans="1:17" s="139" customFormat="1" x14ac:dyDescent="0.25">
      <c r="A83" s="161"/>
      <c r="B83" s="187">
        <v>65267</v>
      </c>
      <c r="C83" s="188"/>
      <c r="D83" s="208" t="s">
        <v>482</v>
      </c>
      <c r="E83" s="408">
        <v>8798.23</v>
      </c>
      <c r="F83" s="408">
        <v>5500</v>
      </c>
      <c r="G83" s="408">
        <v>5500</v>
      </c>
      <c r="H83" s="408">
        <v>5775</v>
      </c>
      <c r="I83" s="408">
        <v>6064</v>
      </c>
      <c r="J83" s="138"/>
      <c r="K83" s="138"/>
      <c r="L83" s="138"/>
      <c r="M83" s="138"/>
      <c r="N83" s="138"/>
      <c r="O83" s="138"/>
      <c r="P83" s="138"/>
      <c r="Q83" s="138"/>
    </row>
    <row r="84" spans="1:17" s="139" customFormat="1" ht="31.5" x14ac:dyDescent="0.25">
      <c r="A84" s="161"/>
      <c r="B84" s="187"/>
      <c r="C84" s="209">
        <v>71</v>
      </c>
      <c r="D84" s="210" t="s">
        <v>75</v>
      </c>
      <c r="E84" s="158">
        <f t="shared" ref="E84:I84" si="53">SUM(E80)</f>
        <v>8798.23</v>
      </c>
      <c r="F84" s="158">
        <f t="shared" si="53"/>
        <v>5500</v>
      </c>
      <c r="G84" s="158">
        <f t="shared" si="53"/>
        <v>5500</v>
      </c>
      <c r="H84" s="158">
        <f t="shared" si="53"/>
        <v>5775</v>
      </c>
      <c r="I84" s="158">
        <f t="shared" si="53"/>
        <v>6064</v>
      </c>
      <c r="J84" s="138"/>
      <c r="K84" s="138"/>
      <c r="L84" s="138"/>
      <c r="M84" s="138"/>
      <c r="N84" s="138"/>
      <c r="O84" s="138"/>
      <c r="P84" s="138"/>
      <c r="Q84" s="138"/>
    </row>
    <row r="85" spans="1:17" s="121" customFormat="1" x14ac:dyDescent="0.25">
      <c r="A85" s="211">
        <v>7</v>
      </c>
      <c r="B85" s="211"/>
      <c r="C85" s="212"/>
      <c r="D85" s="213" t="s">
        <v>76</v>
      </c>
      <c r="E85" s="401">
        <f t="shared" ref="E85" si="54">E86+E89</f>
        <v>0</v>
      </c>
      <c r="F85" s="401">
        <f t="shared" ref="F85:I85" si="55">F86+F89</f>
        <v>800</v>
      </c>
      <c r="G85" s="401">
        <f t="shared" si="55"/>
        <v>0</v>
      </c>
      <c r="H85" s="401">
        <f t="shared" si="55"/>
        <v>0</v>
      </c>
      <c r="I85" s="401">
        <f t="shared" si="55"/>
        <v>0</v>
      </c>
      <c r="J85" s="120"/>
      <c r="K85" s="120"/>
      <c r="L85" s="120"/>
      <c r="M85" s="120"/>
      <c r="N85" s="120"/>
      <c r="O85" s="120"/>
      <c r="P85" s="120"/>
      <c r="Q85" s="120"/>
    </row>
    <row r="86" spans="1:17" s="121" customFormat="1" x14ac:dyDescent="0.25">
      <c r="A86" s="161"/>
      <c r="B86" s="215">
        <v>72</v>
      </c>
      <c r="C86" s="176"/>
      <c r="D86" s="177" t="s">
        <v>77</v>
      </c>
      <c r="E86" s="402">
        <f t="shared" ref="E86:I87" si="56">E87</f>
        <v>0</v>
      </c>
      <c r="F86" s="402">
        <f t="shared" si="56"/>
        <v>0</v>
      </c>
      <c r="G86" s="402">
        <f t="shared" si="56"/>
        <v>0</v>
      </c>
      <c r="H86" s="402">
        <f t="shared" si="56"/>
        <v>0</v>
      </c>
      <c r="I86" s="402">
        <f t="shared" si="56"/>
        <v>0</v>
      </c>
      <c r="J86" s="120"/>
      <c r="K86" s="120"/>
      <c r="L86" s="120"/>
      <c r="M86" s="120"/>
      <c r="N86" s="120"/>
      <c r="O86" s="120"/>
      <c r="P86" s="120"/>
      <c r="Q86" s="120"/>
    </row>
    <row r="87" spans="1:17" s="139" customFormat="1" x14ac:dyDescent="0.25">
      <c r="A87" s="161"/>
      <c r="B87" s="202">
        <v>721</v>
      </c>
      <c r="C87" s="180"/>
      <c r="D87" s="164" t="s">
        <v>78</v>
      </c>
      <c r="E87" s="403">
        <f t="shared" si="56"/>
        <v>0</v>
      </c>
      <c r="F87" s="403">
        <f t="shared" si="56"/>
        <v>0</v>
      </c>
      <c r="G87" s="403">
        <f t="shared" si="56"/>
        <v>0</v>
      </c>
      <c r="H87" s="403">
        <f t="shared" si="56"/>
        <v>0</v>
      </c>
      <c r="I87" s="403">
        <f t="shared" si="56"/>
        <v>0</v>
      </c>
      <c r="J87" s="138"/>
      <c r="K87" s="138"/>
      <c r="L87" s="138"/>
      <c r="M87" s="138"/>
      <c r="N87" s="138"/>
      <c r="O87" s="138"/>
      <c r="P87" s="138"/>
      <c r="Q87" s="138"/>
    </row>
    <row r="88" spans="1:17" s="121" customFormat="1" x14ac:dyDescent="0.25">
      <c r="A88" s="161"/>
      <c r="B88" s="202">
        <v>7211</v>
      </c>
      <c r="C88" s="180"/>
      <c r="D88" s="164" t="s">
        <v>79</v>
      </c>
      <c r="E88" s="404"/>
      <c r="F88" s="404"/>
      <c r="G88" s="404"/>
      <c r="H88" s="404"/>
      <c r="I88" s="404"/>
      <c r="J88" s="120"/>
      <c r="K88" s="120"/>
      <c r="L88" s="120"/>
      <c r="M88" s="120"/>
      <c r="N88" s="120"/>
      <c r="O88" s="120"/>
      <c r="P88" s="120"/>
      <c r="Q88" s="120"/>
    </row>
    <row r="89" spans="1:17" s="139" customFormat="1" x14ac:dyDescent="0.25">
      <c r="A89" s="216"/>
      <c r="B89" s="217">
        <v>723</v>
      </c>
      <c r="C89" s="218"/>
      <c r="D89" s="219" t="s">
        <v>80</v>
      </c>
      <c r="E89" s="405">
        <f t="shared" ref="E89:I90" si="57">E90</f>
        <v>0</v>
      </c>
      <c r="F89" s="405">
        <f t="shared" si="57"/>
        <v>800</v>
      </c>
      <c r="G89" s="405">
        <f t="shared" si="57"/>
        <v>0</v>
      </c>
      <c r="H89" s="405">
        <f t="shared" si="57"/>
        <v>0</v>
      </c>
      <c r="I89" s="405">
        <f t="shared" si="57"/>
        <v>0</v>
      </c>
      <c r="J89" s="138"/>
      <c r="K89" s="138"/>
      <c r="L89" s="138"/>
      <c r="M89" s="138"/>
      <c r="N89" s="138"/>
      <c r="O89" s="138"/>
      <c r="P89" s="138"/>
      <c r="Q89" s="138"/>
    </row>
    <row r="90" spans="1:17" s="121" customFormat="1" x14ac:dyDescent="0.25">
      <c r="A90" s="216"/>
      <c r="B90" s="217">
        <v>7231</v>
      </c>
      <c r="C90" s="218"/>
      <c r="D90" s="219" t="s">
        <v>81</v>
      </c>
      <c r="E90" s="405">
        <f t="shared" si="57"/>
        <v>0</v>
      </c>
      <c r="F90" s="405">
        <f t="shared" si="57"/>
        <v>800</v>
      </c>
      <c r="G90" s="405">
        <f t="shared" si="57"/>
        <v>0</v>
      </c>
      <c r="H90" s="405">
        <f t="shared" si="57"/>
        <v>0</v>
      </c>
      <c r="I90" s="405">
        <f t="shared" si="57"/>
        <v>0</v>
      </c>
      <c r="J90" s="120"/>
      <c r="K90" s="120"/>
      <c r="L90" s="120"/>
      <c r="M90" s="120"/>
      <c r="N90" s="120"/>
      <c r="O90" s="120"/>
      <c r="P90" s="120"/>
      <c r="Q90" s="120"/>
    </row>
    <row r="91" spans="1:17" s="121" customFormat="1" x14ac:dyDescent="0.25">
      <c r="A91" s="216"/>
      <c r="B91" s="330">
        <v>72313</v>
      </c>
      <c r="C91" s="398"/>
      <c r="D91" s="399" t="s">
        <v>572</v>
      </c>
      <c r="E91" s="400">
        <v>0</v>
      </c>
      <c r="F91" s="400">
        <v>800</v>
      </c>
      <c r="G91" s="400">
        <v>0</v>
      </c>
      <c r="H91" s="400">
        <v>0</v>
      </c>
      <c r="I91" s="400">
        <v>0</v>
      </c>
      <c r="J91" s="120"/>
      <c r="K91" s="120"/>
      <c r="L91" s="120"/>
      <c r="M91" s="120"/>
      <c r="N91" s="120"/>
      <c r="O91" s="120"/>
      <c r="P91" s="120"/>
      <c r="Q91" s="120"/>
    </row>
    <row r="92" spans="1:17" s="121" customFormat="1" ht="32.25" thickBot="1" x14ac:dyDescent="0.3">
      <c r="A92" s="216"/>
      <c r="B92" s="216"/>
      <c r="C92" s="209">
        <v>71</v>
      </c>
      <c r="D92" s="210" t="s">
        <v>75</v>
      </c>
      <c r="E92" s="220">
        <f t="shared" ref="E92:I92" si="58">SUM(E85)</f>
        <v>0</v>
      </c>
      <c r="F92" s="220">
        <f t="shared" si="58"/>
        <v>800</v>
      </c>
      <c r="G92" s="220">
        <f t="shared" si="58"/>
        <v>0</v>
      </c>
      <c r="H92" s="220">
        <f t="shared" si="58"/>
        <v>0</v>
      </c>
      <c r="I92" s="220">
        <f t="shared" si="58"/>
        <v>0</v>
      </c>
      <c r="J92" s="120"/>
      <c r="K92" s="120"/>
      <c r="L92" s="120"/>
      <c r="M92" s="120"/>
      <c r="N92" s="120"/>
      <c r="O92" s="120"/>
      <c r="P92" s="120"/>
      <c r="Q92" s="120"/>
    </row>
    <row r="93" spans="1:17" s="121" customFormat="1" ht="16.5" thickBot="1" x14ac:dyDescent="0.3">
      <c r="A93" s="593" t="s">
        <v>82</v>
      </c>
      <c r="B93" s="594"/>
      <c r="C93" s="594"/>
      <c r="D93" s="595"/>
      <c r="E93" s="119">
        <f t="shared" ref="E93" si="59">SUM(E8,E85)</f>
        <v>5100997.3000000007</v>
      </c>
      <c r="F93" s="119">
        <f>SUM(F8,F85)</f>
        <v>5178957.92</v>
      </c>
      <c r="G93" s="119">
        <f>SUM(G8,G85)</f>
        <v>5420091.0800000001</v>
      </c>
      <c r="H93" s="119">
        <f>SUM(H8,H85)</f>
        <v>5902923.1899999995</v>
      </c>
      <c r="I93" s="119">
        <f>SUM(I8,I85)</f>
        <v>6174587.6399999997</v>
      </c>
      <c r="J93" s="120"/>
      <c r="K93" s="120"/>
      <c r="L93" s="120"/>
      <c r="M93" s="120"/>
      <c r="N93" s="120"/>
      <c r="O93" s="120"/>
      <c r="P93" s="120"/>
      <c r="Q93" s="120"/>
    </row>
    <row r="94" spans="1:17" s="121" customFormat="1" hidden="1" x14ac:dyDescent="0.25">
      <c r="A94" s="122"/>
      <c r="B94" s="122"/>
      <c r="C94" s="122"/>
      <c r="D94" s="122"/>
      <c r="E94" s="122"/>
      <c r="F94" s="122"/>
      <c r="G94" s="123"/>
      <c r="H94" s="124"/>
      <c r="I94" s="221"/>
      <c r="J94" s="120"/>
      <c r="K94" s="120"/>
      <c r="L94" s="120"/>
      <c r="M94" s="120"/>
      <c r="N94" s="120"/>
      <c r="O94" s="120"/>
      <c r="P94" s="120"/>
      <c r="Q94" s="120"/>
    </row>
    <row r="95" spans="1:17" s="121" customFormat="1" x14ac:dyDescent="0.25">
      <c r="A95" s="222"/>
      <c r="B95" s="222"/>
      <c r="C95" s="222"/>
      <c r="D95" s="222"/>
      <c r="E95" s="222"/>
      <c r="F95" s="222"/>
      <c r="G95" s="223"/>
      <c r="H95" s="224"/>
      <c r="I95" s="225"/>
      <c r="J95" s="120"/>
      <c r="K95" s="120"/>
      <c r="L95" s="120"/>
      <c r="M95" s="120"/>
      <c r="N95" s="120"/>
      <c r="O95" s="120"/>
      <c r="P95" s="120"/>
      <c r="Q95" s="120"/>
    </row>
    <row r="96" spans="1:17" s="121" customFormat="1" x14ac:dyDescent="0.25">
      <c r="A96" s="222"/>
      <c r="B96" s="222"/>
      <c r="C96" s="222"/>
      <c r="D96" s="222"/>
      <c r="E96" s="222"/>
      <c r="F96" s="222"/>
      <c r="G96" s="223"/>
      <c r="H96" s="224"/>
      <c r="I96" s="224"/>
      <c r="J96" s="120"/>
      <c r="K96" s="120"/>
      <c r="L96" s="120"/>
      <c r="M96" s="120"/>
      <c r="N96" s="120"/>
      <c r="O96" s="120"/>
      <c r="P96" s="120"/>
      <c r="Q96" s="120"/>
    </row>
    <row r="97" spans="1:17" s="121" customFormat="1" x14ac:dyDescent="0.25">
      <c r="A97" s="222"/>
      <c r="B97" s="222"/>
      <c r="C97" s="222"/>
      <c r="D97" s="222"/>
      <c r="E97" s="222"/>
      <c r="F97" s="222"/>
      <c r="G97" s="223"/>
      <c r="H97" s="224"/>
      <c r="I97" s="224"/>
      <c r="J97" s="120"/>
      <c r="K97" s="120"/>
      <c r="L97" s="120"/>
      <c r="M97" s="120"/>
      <c r="N97" s="120"/>
      <c r="O97" s="120"/>
      <c r="P97" s="120"/>
      <c r="Q97" s="120"/>
    </row>
    <row r="98" spans="1:17" s="121" customFormat="1" x14ac:dyDescent="0.25">
      <c r="A98" s="226"/>
      <c r="B98" s="222"/>
      <c r="C98" s="222"/>
      <c r="D98" s="222"/>
      <c r="E98" s="222"/>
      <c r="F98" s="222"/>
      <c r="G98" s="227"/>
      <c r="H98" s="222"/>
      <c r="I98" s="222"/>
      <c r="J98" s="120"/>
      <c r="K98" s="120"/>
      <c r="L98" s="120"/>
      <c r="M98" s="120"/>
      <c r="N98" s="120"/>
      <c r="O98" s="120"/>
      <c r="P98" s="120"/>
      <c r="Q98" s="120"/>
    </row>
    <row r="99" spans="1:17" s="139" customFormat="1" ht="15.75" hidden="1" customHeight="1" x14ac:dyDescent="0.25">
      <c r="A99" s="590" t="s">
        <v>83</v>
      </c>
      <c r="B99" s="591"/>
      <c r="C99" s="591"/>
      <c r="D99" s="591"/>
      <c r="E99" s="591"/>
      <c r="F99" s="591"/>
      <c r="G99" s="591"/>
      <c r="H99" s="591"/>
      <c r="I99" s="591"/>
      <c r="J99" s="138"/>
      <c r="K99" s="138"/>
      <c r="L99" s="138"/>
      <c r="M99" s="138"/>
      <c r="N99" s="138"/>
      <c r="O99" s="138"/>
      <c r="P99" s="138"/>
      <c r="Q99" s="138"/>
    </row>
    <row r="100" spans="1:17" s="121" customFormat="1" ht="47.25" hidden="1" x14ac:dyDescent="0.25">
      <c r="A100" s="127" t="s">
        <v>3</v>
      </c>
      <c r="B100" s="127" t="s">
        <v>4</v>
      </c>
      <c r="C100" s="128" t="s">
        <v>5</v>
      </c>
      <c r="D100" s="129" t="s">
        <v>6</v>
      </c>
      <c r="E100" s="130"/>
      <c r="F100" s="130"/>
      <c r="G100" s="115" t="s">
        <v>84</v>
      </c>
      <c r="H100" s="116" t="s">
        <v>85</v>
      </c>
      <c r="I100" s="125" t="s">
        <v>86</v>
      </c>
      <c r="J100" s="120"/>
      <c r="K100" s="120"/>
      <c r="L100" s="120"/>
      <c r="M100" s="120"/>
      <c r="N100" s="120"/>
      <c r="O100" s="120"/>
      <c r="P100" s="120"/>
      <c r="Q100" s="120"/>
    </row>
    <row r="101" spans="1:17" s="121" customFormat="1" hidden="1" x14ac:dyDescent="0.25">
      <c r="A101" s="592">
        <v>1</v>
      </c>
      <c r="B101" s="592"/>
      <c r="C101" s="592"/>
      <c r="D101" s="592"/>
      <c r="E101" s="131"/>
      <c r="F101" s="131"/>
      <c r="G101" s="228">
        <v>2</v>
      </c>
      <c r="H101" s="133">
        <v>3</v>
      </c>
      <c r="I101" s="133">
        <v>4</v>
      </c>
      <c r="J101" s="120"/>
      <c r="K101" s="120"/>
      <c r="L101" s="120"/>
      <c r="M101" s="120"/>
      <c r="N101" s="120"/>
      <c r="O101" s="120"/>
      <c r="P101" s="120"/>
      <c r="Q101" s="120"/>
    </row>
    <row r="102" spans="1:17" s="121" customFormat="1" hidden="1" x14ac:dyDescent="0.25">
      <c r="A102" s="229" t="s">
        <v>87</v>
      </c>
      <c r="B102" s="229"/>
      <c r="C102" s="230"/>
      <c r="D102" s="231" t="s">
        <v>88</v>
      </c>
      <c r="E102" s="231"/>
      <c r="F102" s="231"/>
      <c r="G102" s="232">
        <f>G103+G113+G146+G151+G155+G158</f>
        <v>0</v>
      </c>
      <c r="H102" s="232">
        <f>H103+H113+H146+H151+H155+H158</f>
        <v>59190450.609999992</v>
      </c>
      <c r="I102" s="232">
        <f>I103+I113+I146+I155+I158</f>
        <v>0</v>
      </c>
      <c r="J102" s="120"/>
      <c r="K102" s="120"/>
      <c r="L102" s="120"/>
      <c r="M102" s="120"/>
      <c r="N102" s="120"/>
      <c r="O102" s="120"/>
      <c r="P102" s="120"/>
      <c r="Q102" s="120"/>
    </row>
    <row r="103" spans="1:17" s="121" customFormat="1" hidden="1" x14ac:dyDescent="0.25">
      <c r="A103" s="202"/>
      <c r="B103" s="141">
        <v>31</v>
      </c>
      <c r="C103" s="215"/>
      <c r="D103" s="233" t="s">
        <v>89</v>
      </c>
      <c r="E103" s="233"/>
      <c r="F103" s="233"/>
      <c r="G103" s="144">
        <f>G104+G109+G111</f>
        <v>0</v>
      </c>
      <c r="H103" s="144">
        <f>H104+H109+H111</f>
        <v>38266104.469999999</v>
      </c>
      <c r="I103" s="144">
        <f>I104+I109+I111</f>
        <v>0</v>
      </c>
      <c r="J103" s="120"/>
      <c r="K103" s="120"/>
      <c r="L103" s="120"/>
      <c r="M103" s="120"/>
      <c r="N103" s="120"/>
      <c r="O103" s="120"/>
      <c r="P103" s="120"/>
      <c r="Q103" s="120"/>
    </row>
    <row r="104" spans="1:17" s="139" customFormat="1" hidden="1" x14ac:dyDescent="0.25">
      <c r="A104" s="202"/>
      <c r="B104" s="162">
        <v>311</v>
      </c>
      <c r="C104" s="234"/>
      <c r="D104" s="202" t="s">
        <v>90</v>
      </c>
      <c r="E104" s="202"/>
      <c r="F104" s="202"/>
      <c r="G104" s="165">
        <f>SUM(G105:G108)</f>
        <v>0</v>
      </c>
      <c r="H104" s="165">
        <f>SUM(H105:H108)</f>
        <v>31479072.16</v>
      </c>
      <c r="I104" s="165">
        <f>SUM(I105:I108)</f>
        <v>0</v>
      </c>
      <c r="J104" s="138"/>
      <c r="K104" s="138"/>
      <c r="L104" s="138"/>
      <c r="M104" s="138"/>
      <c r="N104" s="138"/>
      <c r="O104" s="138"/>
      <c r="P104" s="138"/>
      <c r="Q104" s="138"/>
    </row>
    <row r="105" spans="1:17" s="237" customFormat="1" hidden="1" x14ac:dyDescent="0.25">
      <c r="A105" s="234"/>
      <c r="B105" s="235">
        <v>3111</v>
      </c>
      <c r="C105" s="234"/>
      <c r="D105" s="234" t="s">
        <v>91</v>
      </c>
      <c r="E105" s="234"/>
      <c r="F105" s="234"/>
      <c r="G105" s="173"/>
      <c r="H105" s="173">
        <v>26934798.879999999</v>
      </c>
      <c r="I105" s="173"/>
      <c r="J105" s="236"/>
      <c r="K105" s="236"/>
      <c r="L105" s="236"/>
      <c r="M105" s="236"/>
      <c r="N105" s="236"/>
      <c r="O105" s="236"/>
      <c r="P105" s="236"/>
      <c r="Q105" s="236"/>
    </row>
    <row r="106" spans="1:17" s="237" customFormat="1" hidden="1" x14ac:dyDescent="0.25">
      <c r="A106" s="234"/>
      <c r="B106" s="235" t="s">
        <v>92</v>
      </c>
      <c r="C106" s="234"/>
      <c r="D106" s="234" t="s">
        <v>93</v>
      </c>
      <c r="E106" s="234"/>
      <c r="F106" s="234"/>
      <c r="G106" s="173"/>
      <c r="H106" s="173">
        <v>0</v>
      </c>
      <c r="I106" s="173">
        <v>0</v>
      </c>
      <c r="J106" s="236"/>
      <c r="K106" s="236"/>
      <c r="L106" s="236"/>
      <c r="M106" s="236"/>
      <c r="N106" s="236"/>
      <c r="O106" s="236"/>
      <c r="P106" s="236"/>
      <c r="Q106" s="236"/>
    </row>
    <row r="107" spans="1:17" s="237" customFormat="1" hidden="1" x14ac:dyDescent="0.25">
      <c r="A107" s="234"/>
      <c r="B107" s="235" t="s">
        <v>94</v>
      </c>
      <c r="C107" s="234"/>
      <c r="D107" s="234" t="s">
        <v>95</v>
      </c>
      <c r="E107" s="234"/>
      <c r="F107" s="234"/>
      <c r="G107" s="173"/>
      <c r="H107" s="173">
        <v>2081601.57</v>
      </c>
      <c r="I107" s="173">
        <v>0</v>
      </c>
      <c r="J107" s="236"/>
      <c r="K107" s="236"/>
      <c r="L107" s="236"/>
      <c r="M107" s="236"/>
      <c r="N107" s="236"/>
      <c r="O107" s="236"/>
      <c r="P107" s="236"/>
      <c r="Q107" s="236"/>
    </row>
    <row r="108" spans="1:17" s="237" customFormat="1" hidden="1" x14ac:dyDescent="0.25">
      <c r="A108" s="234"/>
      <c r="B108" s="235" t="s">
        <v>96</v>
      </c>
      <c r="C108" s="234"/>
      <c r="D108" s="234" t="s">
        <v>97</v>
      </c>
      <c r="E108" s="234"/>
      <c r="F108" s="234"/>
      <c r="G108" s="173"/>
      <c r="H108" s="173">
        <v>2462671.71</v>
      </c>
      <c r="I108" s="173">
        <v>0</v>
      </c>
      <c r="J108" s="236"/>
      <c r="K108" s="236"/>
      <c r="L108" s="236"/>
      <c r="M108" s="236"/>
      <c r="N108" s="236"/>
      <c r="O108" s="236"/>
      <c r="P108" s="236"/>
      <c r="Q108" s="236"/>
    </row>
    <row r="109" spans="1:17" s="239" customFormat="1" hidden="1" x14ac:dyDescent="0.25">
      <c r="A109" s="202"/>
      <c r="B109" s="162" t="s">
        <v>98</v>
      </c>
      <c r="C109" s="202"/>
      <c r="D109" s="202" t="s">
        <v>99</v>
      </c>
      <c r="E109" s="202"/>
      <c r="F109" s="202"/>
      <c r="G109" s="165">
        <f>SUM(G110)</f>
        <v>0</v>
      </c>
      <c r="H109" s="165">
        <f>SUM(H110)</f>
        <v>1080214.8799999999</v>
      </c>
      <c r="I109" s="165">
        <f>SUM(I110)</f>
        <v>0</v>
      </c>
      <c r="J109" s="238"/>
      <c r="K109" s="238"/>
      <c r="L109" s="238"/>
      <c r="M109" s="238"/>
      <c r="N109" s="238"/>
      <c r="O109" s="238"/>
      <c r="P109" s="238"/>
      <c r="Q109" s="238"/>
    </row>
    <row r="110" spans="1:17" s="237" customFormat="1" hidden="1" x14ac:dyDescent="0.25">
      <c r="A110" s="234"/>
      <c r="B110" s="235" t="s">
        <v>100</v>
      </c>
      <c r="C110" s="234"/>
      <c r="D110" s="234" t="s">
        <v>99</v>
      </c>
      <c r="E110" s="234"/>
      <c r="F110" s="234"/>
      <c r="G110" s="173"/>
      <c r="H110" s="173">
        <v>1080214.8799999999</v>
      </c>
      <c r="I110" s="173"/>
      <c r="J110" s="236"/>
      <c r="K110" s="236"/>
      <c r="L110" s="236"/>
      <c r="M110" s="236"/>
      <c r="N110" s="236"/>
      <c r="O110" s="236"/>
      <c r="P110" s="236"/>
      <c r="Q110" s="236"/>
    </row>
    <row r="111" spans="1:17" s="237" customFormat="1" hidden="1" x14ac:dyDescent="0.25">
      <c r="A111" s="202"/>
      <c r="B111" s="166">
        <v>313</v>
      </c>
      <c r="C111" s="202"/>
      <c r="D111" s="202" t="s">
        <v>101</v>
      </c>
      <c r="E111" s="202"/>
      <c r="F111" s="202"/>
      <c r="G111" s="240">
        <f>SUM(G112:G112)</f>
        <v>0</v>
      </c>
      <c r="H111" s="240">
        <f>SUM(H112:H112)</f>
        <v>5706817.4299999997</v>
      </c>
      <c r="I111" s="240">
        <f>SUM(I112:I112)</f>
        <v>0</v>
      </c>
      <c r="J111" s="236"/>
      <c r="K111" s="236"/>
      <c r="L111" s="236"/>
      <c r="M111" s="236"/>
      <c r="N111" s="236"/>
      <c r="O111" s="236"/>
      <c r="P111" s="236"/>
      <c r="Q111" s="236"/>
    </row>
    <row r="112" spans="1:17" s="121" customFormat="1" hidden="1" x14ac:dyDescent="0.25">
      <c r="A112" s="234"/>
      <c r="B112" s="170">
        <v>3132</v>
      </c>
      <c r="C112" s="234"/>
      <c r="D112" s="234" t="s">
        <v>102</v>
      </c>
      <c r="E112" s="234"/>
      <c r="F112" s="234"/>
      <c r="G112" s="241"/>
      <c r="H112" s="241">
        <v>5706817.4299999997</v>
      </c>
      <c r="I112" s="241"/>
      <c r="J112" s="120"/>
      <c r="K112" s="120"/>
      <c r="L112" s="120"/>
      <c r="M112" s="120"/>
      <c r="N112" s="120"/>
      <c r="O112" s="120"/>
      <c r="P112" s="120"/>
      <c r="Q112" s="120"/>
    </row>
    <row r="113" spans="1:17" s="121" customFormat="1" hidden="1" x14ac:dyDescent="0.25">
      <c r="A113" s="202"/>
      <c r="B113" s="141">
        <v>32</v>
      </c>
      <c r="C113" s="215"/>
      <c r="D113" s="233" t="s">
        <v>103</v>
      </c>
      <c r="E113" s="233"/>
      <c r="F113" s="233"/>
      <c r="G113" s="144">
        <f>G114+G119+G126+G136+G138</f>
        <v>0</v>
      </c>
      <c r="H113" s="144">
        <f>H114+H119+H126+H136+H138</f>
        <v>19837046.129999999</v>
      </c>
      <c r="I113" s="144">
        <f>I114+I119+I126+I136+I138</f>
        <v>0</v>
      </c>
      <c r="J113" s="120"/>
      <c r="K113" s="120"/>
      <c r="L113" s="120"/>
      <c r="M113" s="120"/>
      <c r="N113" s="120"/>
      <c r="O113" s="120"/>
      <c r="P113" s="120"/>
      <c r="Q113" s="120"/>
    </row>
    <row r="114" spans="1:17" s="121" customFormat="1" hidden="1" x14ac:dyDescent="0.25">
      <c r="A114" s="202"/>
      <c r="B114" s="162">
        <v>321</v>
      </c>
      <c r="C114" s="202"/>
      <c r="D114" s="202" t="s">
        <v>104</v>
      </c>
      <c r="E114" s="202"/>
      <c r="F114" s="202"/>
      <c r="G114" s="165">
        <f>SUM(G115:G118)</f>
        <v>0</v>
      </c>
      <c r="H114" s="165">
        <f>SUM(H115:H118)</f>
        <v>1286916.72</v>
      </c>
      <c r="I114" s="165">
        <f>SUM(I115:I118)</f>
        <v>0</v>
      </c>
      <c r="J114" s="120"/>
      <c r="K114" s="120"/>
      <c r="L114" s="120"/>
      <c r="M114" s="120"/>
      <c r="N114" s="120"/>
      <c r="O114" s="120"/>
      <c r="P114" s="120"/>
      <c r="Q114" s="120"/>
    </row>
    <row r="115" spans="1:17" s="243" customFormat="1" hidden="1" x14ac:dyDescent="0.25">
      <c r="A115" s="234"/>
      <c r="B115" s="235" t="s">
        <v>105</v>
      </c>
      <c r="C115" s="234"/>
      <c r="D115" s="234" t="s">
        <v>106</v>
      </c>
      <c r="E115" s="234"/>
      <c r="F115" s="234"/>
      <c r="G115" s="173"/>
      <c r="H115" s="173">
        <v>58092.24</v>
      </c>
      <c r="I115" s="173"/>
      <c r="J115" s="242"/>
      <c r="K115" s="242"/>
      <c r="L115" s="242"/>
      <c r="M115" s="242"/>
      <c r="N115" s="242"/>
      <c r="O115" s="242"/>
      <c r="P115" s="242"/>
      <c r="Q115" s="242"/>
    </row>
    <row r="116" spans="1:17" s="121" customFormat="1" hidden="1" x14ac:dyDescent="0.25">
      <c r="A116" s="234"/>
      <c r="B116" s="235" t="s">
        <v>107</v>
      </c>
      <c r="C116" s="234"/>
      <c r="D116" s="244" t="s">
        <v>108</v>
      </c>
      <c r="E116" s="244"/>
      <c r="F116" s="244"/>
      <c r="G116" s="173"/>
      <c r="H116" s="173">
        <v>1157835.7</v>
      </c>
      <c r="I116" s="173"/>
      <c r="J116" s="245"/>
      <c r="K116" s="245"/>
      <c r="L116" s="245"/>
      <c r="M116" s="120"/>
      <c r="N116" s="120"/>
      <c r="O116" s="120"/>
      <c r="P116" s="120"/>
      <c r="Q116" s="120"/>
    </row>
    <row r="117" spans="1:17" s="121" customFormat="1" hidden="1" x14ac:dyDescent="0.25">
      <c r="A117" s="234"/>
      <c r="B117" s="235" t="s">
        <v>109</v>
      </c>
      <c r="C117" s="234"/>
      <c r="D117" s="244" t="s">
        <v>110</v>
      </c>
      <c r="E117" s="244"/>
      <c r="F117" s="244"/>
      <c r="G117" s="173"/>
      <c r="H117" s="173">
        <v>68599.77</v>
      </c>
      <c r="I117" s="173"/>
      <c r="J117" s="120"/>
      <c r="K117" s="120"/>
      <c r="L117" s="120"/>
      <c r="M117" s="120"/>
      <c r="N117" s="120"/>
      <c r="O117" s="120"/>
      <c r="P117" s="120"/>
      <c r="Q117" s="120"/>
    </row>
    <row r="118" spans="1:17" s="121" customFormat="1" hidden="1" x14ac:dyDescent="0.25">
      <c r="A118" s="234"/>
      <c r="B118" s="235" t="s">
        <v>111</v>
      </c>
      <c r="C118" s="234"/>
      <c r="D118" s="244" t="s">
        <v>112</v>
      </c>
      <c r="E118" s="244"/>
      <c r="F118" s="244"/>
      <c r="G118" s="173"/>
      <c r="H118" s="173">
        <v>2389.0100000000002</v>
      </c>
      <c r="I118" s="173">
        <v>0</v>
      </c>
      <c r="J118" s="120"/>
      <c r="K118" s="120"/>
      <c r="L118" s="120"/>
      <c r="M118" s="120"/>
      <c r="N118" s="120"/>
      <c r="O118" s="120"/>
      <c r="P118" s="120"/>
      <c r="Q118" s="120"/>
    </row>
    <row r="119" spans="1:17" s="139" customFormat="1" hidden="1" x14ac:dyDescent="0.25">
      <c r="A119" s="202"/>
      <c r="B119" s="162" t="s">
        <v>113</v>
      </c>
      <c r="C119" s="202"/>
      <c r="D119" s="246" t="s">
        <v>114</v>
      </c>
      <c r="E119" s="246"/>
      <c r="F119" s="246"/>
      <c r="G119" s="165">
        <f>SUM(G120:G125)</f>
        <v>0</v>
      </c>
      <c r="H119" s="165">
        <f>SUM(H120:H125)</f>
        <v>14671871.550000001</v>
      </c>
      <c r="I119" s="165">
        <f>SUM(I120:I125)</f>
        <v>0</v>
      </c>
      <c r="J119" s="138"/>
      <c r="K119" s="138"/>
      <c r="L119" s="138"/>
      <c r="M119" s="138"/>
      <c r="N119" s="138"/>
      <c r="O119" s="138"/>
      <c r="P119" s="138"/>
      <c r="Q119" s="138"/>
    </row>
    <row r="120" spans="1:17" s="139" customFormat="1" hidden="1" x14ac:dyDescent="0.25">
      <c r="A120" s="202"/>
      <c r="B120" s="235" t="s">
        <v>115</v>
      </c>
      <c r="C120" s="202"/>
      <c r="D120" s="234" t="s">
        <v>116</v>
      </c>
      <c r="E120" s="234"/>
      <c r="F120" s="234"/>
      <c r="G120" s="173"/>
      <c r="H120" s="173">
        <v>491365.97</v>
      </c>
      <c r="I120" s="173"/>
      <c r="J120" s="138"/>
      <c r="K120" s="138"/>
      <c r="L120" s="138"/>
      <c r="M120" s="138"/>
      <c r="N120" s="138"/>
      <c r="O120" s="138"/>
      <c r="P120" s="138"/>
      <c r="Q120" s="138"/>
    </row>
    <row r="121" spans="1:17" s="139" customFormat="1" hidden="1" x14ac:dyDescent="0.25">
      <c r="A121" s="202"/>
      <c r="B121" s="235" t="s">
        <v>117</v>
      </c>
      <c r="C121" s="202"/>
      <c r="D121" s="234" t="s">
        <v>118</v>
      </c>
      <c r="E121" s="234"/>
      <c r="F121" s="234"/>
      <c r="G121" s="173"/>
      <c r="H121" s="173">
        <v>11982425.029999999</v>
      </c>
      <c r="I121" s="173"/>
      <c r="J121" s="138"/>
      <c r="K121" s="138"/>
      <c r="L121" s="138"/>
      <c r="M121" s="138"/>
      <c r="N121" s="138"/>
      <c r="O121" s="138"/>
      <c r="P121" s="138"/>
      <c r="Q121" s="138"/>
    </row>
    <row r="122" spans="1:17" s="139" customFormat="1" hidden="1" x14ac:dyDescent="0.25">
      <c r="A122" s="202"/>
      <c r="B122" s="235" t="s">
        <v>119</v>
      </c>
      <c r="C122" s="202"/>
      <c r="D122" s="234" t="s">
        <v>120</v>
      </c>
      <c r="E122" s="234"/>
      <c r="F122" s="234"/>
      <c r="G122" s="173"/>
      <c r="H122" s="173">
        <v>1964258.67</v>
      </c>
      <c r="I122" s="173"/>
      <c r="J122" s="138"/>
      <c r="K122" s="138"/>
      <c r="L122" s="138"/>
      <c r="M122" s="138"/>
      <c r="N122" s="138"/>
      <c r="O122" s="138"/>
      <c r="P122" s="138"/>
      <c r="Q122" s="138"/>
    </row>
    <row r="123" spans="1:17" s="139" customFormat="1" hidden="1" x14ac:dyDescent="0.25">
      <c r="A123" s="202"/>
      <c r="B123" s="235" t="s">
        <v>121</v>
      </c>
      <c r="C123" s="202"/>
      <c r="D123" s="244" t="s">
        <v>122</v>
      </c>
      <c r="E123" s="244"/>
      <c r="F123" s="244"/>
      <c r="G123" s="173"/>
      <c r="H123" s="173">
        <v>150568.31</v>
      </c>
      <c r="I123" s="173"/>
      <c r="J123" s="138"/>
      <c r="K123" s="138"/>
      <c r="L123" s="138"/>
      <c r="M123" s="138"/>
      <c r="N123" s="138"/>
      <c r="O123" s="138"/>
      <c r="P123" s="138"/>
      <c r="Q123" s="138"/>
    </row>
    <row r="124" spans="1:17" s="139" customFormat="1" hidden="1" x14ac:dyDescent="0.25">
      <c r="A124" s="202"/>
      <c r="B124" s="235" t="s">
        <v>123</v>
      </c>
      <c r="C124" s="202"/>
      <c r="D124" s="244" t="s">
        <v>124</v>
      </c>
      <c r="E124" s="244"/>
      <c r="F124" s="244"/>
      <c r="G124" s="173"/>
      <c r="H124" s="173">
        <v>63743.31</v>
      </c>
      <c r="I124" s="173"/>
      <c r="J124" s="138"/>
      <c r="K124" s="138"/>
      <c r="L124" s="138"/>
      <c r="M124" s="138"/>
      <c r="N124" s="138"/>
      <c r="O124" s="138"/>
      <c r="P124" s="138"/>
      <c r="Q124" s="138"/>
    </row>
    <row r="125" spans="1:17" s="139" customFormat="1" hidden="1" x14ac:dyDescent="0.25">
      <c r="A125" s="202"/>
      <c r="B125" s="235" t="s">
        <v>125</v>
      </c>
      <c r="C125" s="202"/>
      <c r="D125" s="244" t="s">
        <v>126</v>
      </c>
      <c r="E125" s="244"/>
      <c r="F125" s="244"/>
      <c r="G125" s="173"/>
      <c r="H125" s="173">
        <v>19510.259999999998</v>
      </c>
      <c r="I125" s="173">
        <v>0</v>
      </c>
      <c r="J125" s="138"/>
      <c r="K125" s="138"/>
      <c r="L125" s="138"/>
      <c r="M125" s="138"/>
      <c r="N125" s="138"/>
      <c r="O125" s="138"/>
      <c r="P125" s="138"/>
      <c r="Q125" s="138"/>
    </row>
    <row r="126" spans="1:17" s="139" customFormat="1" hidden="1" x14ac:dyDescent="0.25">
      <c r="A126" s="202"/>
      <c r="B126" s="162" t="s">
        <v>127</v>
      </c>
      <c r="C126" s="202"/>
      <c r="D126" s="246" t="s">
        <v>128</v>
      </c>
      <c r="E126" s="246"/>
      <c r="F126" s="246"/>
      <c r="G126" s="165">
        <f>SUM(G127:G135)</f>
        <v>0</v>
      </c>
      <c r="H126" s="165">
        <f>SUM(H127:H135)</f>
        <v>3417555.09</v>
      </c>
      <c r="I126" s="165">
        <f>SUM(I127:I135)</f>
        <v>0</v>
      </c>
      <c r="J126" s="138"/>
      <c r="K126" s="138"/>
      <c r="L126" s="138"/>
      <c r="M126" s="138"/>
      <c r="N126" s="138"/>
      <c r="O126" s="138"/>
      <c r="P126" s="138"/>
      <c r="Q126" s="138"/>
    </row>
    <row r="127" spans="1:17" s="139" customFormat="1" hidden="1" x14ac:dyDescent="0.25">
      <c r="A127" s="202"/>
      <c r="B127" s="235" t="s">
        <v>129</v>
      </c>
      <c r="C127" s="202"/>
      <c r="D127" s="244" t="s">
        <v>130</v>
      </c>
      <c r="E127" s="244"/>
      <c r="F127" s="244"/>
      <c r="G127" s="173"/>
      <c r="H127" s="173">
        <v>186853.41</v>
      </c>
      <c r="I127" s="173"/>
      <c r="J127" s="138"/>
      <c r="L127" s="138"/>
      <c r="M127" s="138"/>
      <c r="N127" s="138"/>
      <c r="O127" s="138"/>
      <c r="P127" s="138"/>
      <c r="Q127" s="138"/>
    </row>
    <row r="128" spans="1:17" s="139" customFormat="1" hidden="1" x14ac:dyDescent="0.25">
      <c r="A128" s="202"/>
      <c r="B128" s="235" t="s">
        <v>131</v>
      </c>
      <c r="C128" s="202"/>
      <c r="D128" s="244" t="s">
        <v>132</v>
      </c>
      <c r="E128" s="244"/>
      <c r="F128" s="244"/>
      <c r="G128" s="173"/>
      <c r="H128" s="173">
        <v>307253.31</v>
      </c>
      <c r="I128" s="173"/>
      <c r="J128" s="138"/>
      <c r="K128" s="138"/>
      <c r="L128" s="138"/>
      <c r="M128" s="138"/>
      <c r="N128" s="138"/>
      <c r="O128" s="138"/>
      <c r="P128" s="138"/>
      <c r="Q128" s="138"/>
    </row>
    <row r="129" spans="1:17" s="139" customFormat="1" hidden="1" x14ac:dyDescent="0.25">
      <c r="A129" s="202"/>
      <c r="B129" s="235" t="s">
        <v>133</v>
      </c>
      <c r="C129" s="202"/>
      <c r="D129" s="244" t="s">
        <v>134</v>
      </c>
      <c r="E129" s="244"/>
      <c r="F129" s="244"/>
      <c r="G129" s="173"/>
      <c r="H129" s="173">
        <v>25250.65</v>
      </c>
      <c r="I129" s="173"/>
      <c r="J129" s="138"/>
      <c r="K129" s="138"/>
      <c r="L129" s="138"/>
      <c r="M129" s="138"/>
      <c r="N129" s="138"/>
      <c r="O129" s="138"/>
      <c r="P129" s="138"/>
      <c r="Q129" s="138"/>
    </row>
    <row r="130" spans="1:17" s="139" customFormat="1" hidden="1" x14ac:dyDescent="0.25">
      <c r="A130" s="202"/>
      <c r="B130" s="187" t="s">
        <v>135</v>
      </c>
      <c r="C130" s="140"/>
      <c r="D130" s="247" t="s">
        <v>136</v>
      </c>
      <c r="E130" s="247"/>
      <c r="F130" s="247"/>
      <c r="G130" s="173"/>
      <c r="H130" s="173">
        <v>772450.32</v>
      </c>
      <c r="I130" s="173"/>
      <c r="J130" s="138"/>
      <c r="K130" s="138"/>
      <c r="L130" s="138"/>
      <c r="M130" s="138"/>
      <c r="N130" s="138"/>
      <c r="O130" s="138"/>
      <c r="P130" s="138"/>
      <c r="Q130" s="138"/>
    </row>
    <row r="131" spans="1:17" s="139" customFormat="1" hidden="1" x14ac:dyDescent="0.25">
      <c r="A131" s="202"/>
      <c r="B131" s="187">
        <v>3235</v>
      </c>
      <c r="C131" s="140"/>
      <c r="D131" s="247" t="s">
        <v>137</v>
      </c>
      <c r="E131" s="247"/>
      <c r="F131" s="247"/>
      <c r="G131" s="173"/>
      <c r="H131" s="173">
        <v>122502.08</v>
      </c>
      <c r="I131" s="173"/>
      <c r="J131" s="138"/>
      <c r="K131" s="138"/>
      <c r="L131" s="138"/>
      <c r="M131" s="138"/>
      <c r="N131" s="138"/>
      <c r="O131" s="138"/>
      <c r="P131" s="138"/>
      <c r="Q131" s="138"/>
    </row>
    <row r="132" spans="1:17" s="139" customFormat="1" hidden="1" x14ac:dyDescent="0.25">
      <c r="A132" s="202"/>
      <c r="B132" s="187">
        <v>3236</v>
      </c>
      <c r="C132" s="140"/>
      <c r="D132" s="247" t="s">
        <v>138</v>
      </c>
      <c r="E132" s="247"/>
      <c r="F132" s="247"/>
      <c r="G132" s="173"/>
      <c r="H132" s="173">
        <v>677215.88</v>
      </c>
      <c r="I132" s="173"/>
      <c r="J132" s="138"/>
      <c r="K132" s="138"/>
      <c r="L132" s="138"/>
      <c r="M132" s="138"/>
      <c r="N132" s="138"/>
      <c r="O132" s="138"/>
      <c r="P132" s="138"/>
      <c r="Q132" s="138"/>
    </row>
    <row r="133" spans="1:17" s="139" customFormat="1" hidden="1" x14ac:dyDescent="0.25">
      <c r="A133" s="202"/>
      <c r="B133" s="187">
        <v>3237</v>
      </c>
      <c r="C133" s="140"/>
      <c r="D133" s="247" t="s">
        <v>139</v>
      </c>
      <c r="E133" s="247"/>
      <c r="F133" s="247"/>
      <c r="G133" s="173"/>
      <c r="H133" s="173">
        <v>771792.81</v>
      </c>
      <c r="I133" s="173"/>
      <c r="J133" s="138"/>
      <c r="K133" s="138"/>
      <c r="L133" s="138"/>
      <c r="M133" s="138"/>
      <c r="N133" s="138"/>
      <c r="O133" s="138"/>
      <c r="P133" s="138"/>
      <c r="Q133" s="138"/>
    </row>
    <row r="134" spans="1:17" s="139" customFormat="1" hidden="1" x14ac:dyDescent="0.25">
      <c r="A134" s="202"/>
      <c r="B134" s="187" t="s">
        <v>140</v>
      </c>
      <c r="C134" s="140"/>
      <c r="D134" s="247" t="s">
        <v>141</v>
      </c>
      <c r="E134" s="247"/>
      <c r="F134" s="247"/>
      <c r="G134" s="173"/>
      <c r="H134" s="173">
        <v>194855.26</v>
      </c>
      <c r="I134" s="173"/>
      <c r="J134" s="138"/>
      <c r="K134" s="138"/>
      <c r="L134" s="138"/>
      <c r="M134" s="138"/>
      <c r="N134" s="138"/>
      <c r="O134" s="138"/>
      <c r="P134" s="138"/>
      <c r="Q134" s="138"/>
    </row>
    <row r="135" spans="1:17" s="121" customFormat="1" hidden="1" x14ac:dyDescent="0.25">
      <c r="A135" s="234"/>
      <c r="B135" s="187" t="s">
        <v>142</v>
      </c>
      <c r="C135" s="140"/>
      <c r="D135" s="247" t="s">
        <v>143</v>
      </c>
      <c r="E135" s="247"/>
      <c r="F135" s="247"/>
      <c r="G135" s="173"/>
      <c r="H135" s="173">
        <v>359381.37</v>
      </c>
      <c r="I135" s="173"/>
      <c r="J135" s="120"/>
      <c r="K135" s="120"/>
      <c r="L135" s="120"/>
      <c r="M135" s="120"/>
      <c r="N135" s="120"/>
      <c r="O135" s="120"/>
      <c r="P135" s="120"/>
      <c r="Q135" s="120"/>
    </row>
    <row r="136" spans="1:17" s="121" customFormat="1" hidden="1" x14ac:dyDescent="0.25">
      <c r="A136" s="234"/>
      <c r="B136" s="166">
        <v>324</v>
      </c>
      <c r="C136" s="161"/>
      <c r="D136" s="168" t="s">
        <v>144</v>
      </c>
      <c r="E136" s="168"/>
      <c r="F136" s="168"/>
      <c r="G136" s="165">
        <f>SUM(G137)</f>
        <v>0</v>
      </c>
      <c r="H136" s="165">
        <f>SUM(H137)</f>
        <v>17784.86</v>
      </c>
      <c r="I136" s="165">
        <f>SUM(I137)</f>
        <v>0</v>
      </c>
      <c r="J136" s="120"/>
      <c r="K136" s="120"/>
      <c r="L136" s="120"/>
      <c r="M136" s="120"/>
      <c r="N136" s="120"/>
      <c r="O136" s="120"/>
      <c r="P136" s="120"/>
      <c r="Q136" s="120"/>
    </row>
    <row r="137" spans="1:17" s="121" customFormat="1" hidden="1" x14ac:dyDescent="0.25">
      <c r="A137" s="234"/>
      <c r="B137" s="170">
        <v>3241</v>
      </c>
      <c r="C137" s="161"/>
      <c r="D137" s="171" t="s">
        <v>144</v>
      </c>
      <c r="E137" s="171"/>
      <c r="F137" s="171"/>
      <c r="G137" s="173"/>
      <c r="H137" s="173">
        <v>17784.86</v>
      </c>
      <c r="I137" s="173">
        <v>0</v>
      </c>
      <c r="J137" s="120"/>
      <c r="K137" s="120"/>
      <c r="L137" s="120"/>
      <c r="M137" s="120"/>
      <c r="N137" s="120"/>
      <c r="O137" s="120"/>
      <c r="P137" s="120"/>
      <c r="Q137" s="120"/>
    </row>
    <row r="138" spans="1:17" s="121" customFormat="1" hidden="1" x14ac:dyDescent="0.25">
      <c r="A138" s="234"/>
      <c r="B138" s="184">
        <v>329</v>
      </c>
      <c r="C138" s="161"/>
      <c r="D138" s="248" t="s">
        <v>145</v>
      </c>
      <c r="E138" s="248"/>
      <c r="F138" s="248"/>
      <c r="G138" s="165">
        <f>SUM(G139:G145)</f>
        <v>0</v>
      </c>
      <c r="H138" s="165">
        <f>SUM(H139:H145)</f>
        <v>442917.91000000003</v>
      </c>
      <c r="I138" s="165">
        <f>SUM(I139:I145)</f>
        <v>0</v>
      </c>
      <c r="J138" s="120"/>
      <c r="K138" s="120"/>
      <c r="L138" s="120"/>
      <c r="M138" s="120"/>
      <c r="N138" s="120"/>
      <c r="O138" s="120"/>
      <c r="P138" s="120"/>
      <c r="Q138" s="120"/>
    </row>
    <row r="139" spans="1:17" s="121" customFormat="1" ht="31.5" hidden="1" x14ac:dyDescent="0.25">
      <c r="A139" s="234"/>
      <c r="B139" s="187" t="s">
        <v>146</v>
      </c>
      <c r="C139" s="140"/>
      <c r="D139" s="171" t="s">
        <v>147</v>
      </c>
      <c r="E139" s="171"/>
      <c r="F139" s="171"/>
      <c r="G139" s="173"/>
      <c r="H139" s="173">
        <v>54577.87</v>
      </c>
      <c r="I139" s="173"/>
      <c r="J139" s="120"/>
      <c r="K139" s="120"/>
      <c r="L139" s="120"/>
      <c r="M139" s="120"/>
      <c r="N139" s="120"/>
      <c r="O139" s="120"/>
      <c r="P139" s="120"/>
      <c r="Q139" s="120"/>
    </row>
    <row r="140" spans="1:17" s="121" customFormat="1" hidden="1" x14ac:dyDescent="0.25">
      <c r="A140" s="234"/>
      <c r="B140" s="187">
        <v>3292</v>
      </c>
      <c r="C140" s="140"/>
      <c r="D140" s="247" t="s">
        <v>148</v>
      </c>
      <c r="E140" s="247"/>
      <c r="F140" s="247"/>
      <c r="G140" s="173"/>
      <c r="H140" s="173">
        <v>215255.56</v>
      </c>
      <c r="I140" s="173"/>
      <c r="J140" s="120"/>
      <c r="K140" s="120"/>
      <c r="L140" s="120"/>
      <c r="M140" s="120"/>
      <c r="N140" s="120"/>
      <c r="O140" s="120"/>
      <c r="P140" s="120"/>
      <c r="Q140" s="120"/>
    </row>
    <row r="141" spans="1:17" s="121" customFormat="1" hidden="1" x14ac:dyDescent="0.25">
      <c r="A141" s="234"/>
      <c r="B141" s="187">
        <v>3293</v>
      </c>
      <c r="C141" s="140"/>
      <c r="D141" s="247" t="s">
        <v>149</v>
      </c>
      <c r="E141" s="247"/>
      <c r="F141" s="247"/>
      <c r="G141" s="173"/>
      <c r="H141" s="173">
        <v>9987.5300000000007</v>
      </c>
      <c r="I141" s="173"/>
      <c r="J141" s="120"/>
      <c r="K141" s="120"/>
      <c r="L141" s="120"/>
      <c r="M141" s="120"/>
      <c r="N141" s="120"/>
      <c r="O141" s="120"/>
      <c r="P141" s="120"/>
      <c r="Q141" s="120"/>
    </row>
    <row r="142" spans="1:17" s="121" customFormat="1" hidden="1" x14ac:dyDescent="0.25">
      <c r="A142" s="234"/>
      <c r="B142" s="187">
        <v>3294</v>
      </c>
      <c r="C142" s="140"/>
      <c r="D142" s="247" t="s">
        <v>150</v>
      </c>
      <c r="E142" s="247"/>
      <c r="F142" s="247"/>
      <c r="G142" s="173"/>
      <c r="H142" s="173">
        <v>17118.32</v>
      </c>
      <c r="I142" s="173"/>
      <c r="J142" s="120"/>
      <c r="K142" s="120"/>
      <c r="L142" s="120"/>
      <c r="M142" s="120"/>
      <c r="N142" s="120"/>
      <c r="O142" s="120"/>
      <c r="P142" s="120"/>
      <c r="Q142" s="120"/>
    </row>
    <row r="143" spans="1:17" s="121" customFormat="1" hidden="1" x14ac:dyDescent="0.25">
      <c r="A143" s="234"/>
      <c r="B143" s="194">
        <v>3295</v>
      </c>
      <c r="C143" s="140"/>
      <c r="D143" s="249" t="s">
        <v>151</v>
      </c>
      <c r="E143" s="249"/>
      <c r="F143" s="249"/>
      <c r="G143" s="173"/>
      <c r="H143" s="173">
        <v>64098.879999999997</v>
      </c>
      <c r="I143" s="173"/>
      <c r="J143" s="120"/>
      <c r="K143" s="120"/>
      <c r="L143" s="120"/>
      <c r="M143" s="120"/>
      <c r="N143" s="120"/>
      <c r="O143" s="120"/>
      <c r="P143" s="120"/>
      <c r="Q143" s="120"/>
    </row>
    <row r="144" spans="1:17" s="121" customFormat="1" hidden="1" x14ac:dyDescent="0.25">
      <c r="A144" s="234"/>
      <c r="B144" s="194">
        <v>3296</v>
      </c>
      <c r="C144" s="140"/>
      <c r="D144" s="249" t="s">
        <v>152</v>
      </c>
      <c r="E144" s="249"/>
      <c r="F144" s="249"/>
      <c r="G144" s="173"/>
      <c r="H144" s="173">
        <v>4645.3</v>
      </c>
      <c r="I144" s="173">
        <v>0</v>
      </c>
      <c r="J144" s="120"/>
      <c r="K144" s="120"/>
      <c r="L144" s="120"/>
      <c r="M144" s="120"/>
      <c r="N144" s="120"/>
      <c r="O144" s="120"/>
      <c r="P144" s="120"/>
      <c r="Q144" s="120"/>
    </row>
    <row r="145" spans="1:17" s="121" customFormat="1" hidden="1" x14ac:dyDescent="0.25">
      <c r="A145" s="234"/>
      <c r="B145" s="194" t="s">
        <v>153</v>
      </c>
      <c r="C145" s="140"/>
      <c r="D145" s="249" t="s">
        <v>145</v>
      </c>
      <c r="E145" s="249"/>
      <c r="F145" s="249"/>
      <c r="G145" s="173"/>
      <c r="H145" s="173">
        <v>77234.45</v>
      </c>
      <c r="I145" s="173"/>
      <c r="J145" s="120"/>
      <c r="K145" s="120"/>
      <c r="L145" s="120"/>
      <c r="M145" s="120"/>
      <c r="N145" s="120"/>
      <c r="O145" s="120"/>
      <c r="P145" s="120"/>
      <c r="Q145" s="120"/>
    </row>
    <row r="146" spans="1:17" s="121" customFormat="1" hidden="1" x14ac:dyDescent="0.25">
      <c r="A146" s="234"/>
      <c r="B146" s="141">
        <v>34</v>
      </c>
      <c r="C146" s="215"/>
      <c r="D146" s="233" t="s">
        <v>154</v>
      </c>
      <c r="E146" s="233"/>
      <c r="F146" s="233"/>
      <c r="G146" s="178">
        <f>SUM(G147)</f>
        <v>0</v>
      </c>
      <c r="H146" s="178">
        <f>SUM(H147)</f>
        <v>409928.04999999993</v>
      </c>
      <c r="I146" s="178">
        <f>SUM(I147)</f>
        <v>0</v>
      </c>
      <c r="J146" s="120"/>
      <c r="K146" s="120"/>
      <c r="L146" s="120"/>
      <c r="M146" s="120"/>
      <c r="N146" s="120"/>
      <c r="O146" s="120"/>
      <c r="P146" s="120"/>
      <c r="Q146" s="120"/>
    </row>
    <row r="147" spans="1:17" s="121" customFormat="1" hidden="1" x14ac:dyDescent="0.25">
      <c r="A147" s="234"/>
      <c r="B147" s="184">
        <v>343</v>
      </c>
      <c r="C147" s="161"/>
      <c r="D147" s="248" t="s">
        <v>155</v>
      </c>
      <c r="E147" s="248"/>
      <c r="F147" s="248"/>
      <c r="G147" s="165">
        <f>SUM(G148:G150)</f>
        <v>0</v>
      </c>
      <c r="H147" s="165">
        <f>SUM(H148:H150)</f>
        <v>409928.04999999993</v>
      </c>
      <c r="I147" s="165">
        <f>SUM(I148:I149)</f>
        <v>0</v>
      </c>
      <c r="J147" s="120"/>
      <c r="K147" s="120"/>
      <c r="L147" s="120"/>
      <c r="M147" s="120"/>
      <c r="N147" s="120"/>
      <c r="O147" s="120"/>
      <c r="P147" s="120"/>
      <c r="Q147" s="120"/>
    </row>
    <row r="148" spans="1:17" s="121" customFormat="1" hidden="1" x14ac:dyDescent="0.25">
      <c r="A148" s="234"/>
      <c r="B148" s="187" t="s">
        <v>156</v>
      </c>
      <c r="C148" s="140"/>
      <c r="D148" s="247" t="s">
        <v>157</v>
      </c>
      <c r="E148" s="247"/>
      <c r="F148" s="247"/>
      <c r="G148" s="173"/>
      <c r="H148" s="173">
        <v>67485.03</v>
      </c>
      <c r="I148" s="173"/>
      <c r="J148" s="120"/>
      <c r="K148" s="120"/>
      <c r="L148" s="120"/>
      <c r="M148" s="120"/>
      <c r="N148" s="120"/>
      <c r="O148" s="120"/>
      <c r="P148" s="120"/>
      <c r="Q148" s="120"/>
    </row>
    <row r="149" spans="1:17" s="121" customFormat="1" hidden="1" x14ac:dyDescent="0.25">
      <c r="A149" s="234"/>
      <c r="B149" s="194">
        <v>3433</v>
      </c>
      <c r="C149" s="140"/>
      <c r="D149" s="249" t="s">
        <v>158</v>
      </c>
      <c r="E149" s="249"/>
      <c r="F149" s="249"/>
      <c r="G149" s="173"/>
      <c r="H149" s="173">
        <v>342376.66</v>
      </c>
      <c r="I149" s="173"/>
      <c r="J149" s="120"/>
      <c r="K149" s="120"/>
      <c r="L149" s="120"/>
      <c r="M149" s="120"/>
      <c r="N149" s="120"/>
      <c r="O149" s="120"/>
      <c r="P149" s="120"/>
      <c r="Q149" s="120"/>
    </row>
    <row r="150" spans="1:17" s="121" customFormat="1" hidden="1" x14ac:dyDescent="0.25">
      <c r="A150" s="234"/>
      <c r="B150" s="194">
        <v>3434</v>
      </c>
      <c r="C150" s="140"/>
      <c r="D150" s="249" t="s">
        <v>159</v>
      </c>
      <c r="E150" s="249"/>
      <c r="F150" s="249"/>
      <c r="G150" s="173">
        <v>0</v>
      </c>
      <c r="H150" s="173">
        <v>66.36</v>
      </c>
      <c r="I150" s="173">
        <v>0</v>
      </c>
      <c r="J150" s="120"/>
      <c r="K150" s="120"/>
      <c r="L150" s="120"/>
      <c r="M150" s="120"/>
      <c r="N150" s="120"/>
      <c r="O150" s="120"/>
      <c r="P150" s="120"/>
      <c r="Q150" s="120"/>
    </row>
    <row r="151" spans="1:17" s="121" customFormat="1" hidden="1" x14ac:dyDescent="0.25">
      <c r="A151" s="234"/>
      <c r="B151" s="175">
        <v>36</v>
      </c>
      <c r="C151" s="250"/>
      <c r="D151" s="251" t="s">
        <v>160</v>
      </c>
      <c r="E151" s="251"/>
      <c r="F151" s="251"/>
      <c r="G151" s="178">
        <f>G152</f>
        <v>0</v>
      </c>
      <c r="H151" s="178">
        <f>H152</f>
        <v>7963.37</v>
      </c>
      <c r="I151" s="178">
        <f>I152</f>
        <v>0</v>
      </c>
      <c r="J151" s="120"/>
      <c r="K151" s="120"/>
      <c r="L151" s="120"/>
      <c r="M151" s="120"/>
      <c r="N151" s="120"/>
      <c r="O151" s="120"/>
      <c r="P151" s="120"/>
      <c r="Q151" s="120"/>
    </row>
    <row r="152" spans="1:17" s="121" customFormat="1" hidden="1" x14ac:dyDescent="0.25">
      <c r="A152" s="234"/>
      <c r="B152" s="179">
        <v>369</v>
      </c>
      <c r="C152" s="161"/>
      <c r="D152" s="252" t="s">
        <v>38</v>
      </c>
      <c r="E152" s="252"/>
      <c r="F152" s="252"/>
      <c r="G152" s="165">
        <f>SUM(G154,G153)</f>
        <v>0</v>
      </c>
      <c r="H152" s="165">
        <f>SUM(H154)</f>
        <v>7963.37</v>
      </c>
      <c r="I152" s="165">
        <f>SUM(I154)</f>
        <v>0</v>
      </c>
      <c r="J152" s="120"/>
      <c r="K152" s="120"/>
      <c r="L152" s="120"/>
      <c r="M152" s="120"/>
      <c r="N152" s="120"/>
      <c r="O152" s="120"/>
      <c r="P152" s="120"/>
      <c r="Q152" s="120"/>
    </row>
    <row r="153" spans="1:17" s="121" customFormat="1" hidden="1" x14ac:dyDescent="0.25">
      <c r="A153" s="234"/>
      <c r="B153" s="194">
        <v>3691</v>
      </c>
      <c r="C153" s="140"/>
      <c r="D153" s="249" t="s">
        <v>161</v>
      </c>
      <c r="E153" s="249"/>
      <c r="F153" s="249"/>
      <c r="G153" s="173"/>
      <c r="H153" s="173">
        <v>0</v>
      </c>
      <c r="I153" s="173">
        <v>0</v>
      </c>
      <c r="J153" s="120"/>
      <c r="K153" s="120"/>
      <c r="L153" s="120"/>
      <c r="M153" s="120"/>
      <c r="N153" s="120"/>
      <c r="O153" s="120"/>
      <c r="P153" s="120"/>
      <c r="Q153" s="120"/>
    </row>
    <row r="154" spans="1:17" s="121" customFormat="1" hidden="1" x14ac:dyDescent="0.25">
      <c r="A154" s="234"/>
      <c r="B154" s="194">
        <v>3692</v>
      </c>
      <c r="C154" s="140"/>
      <c r="D154" s="249" t="s">
        <v>162</v>
      </c>
      <c r="E154" s="249"/>
      <c r="F154" s="249"/>
      <c r="G154" s="173">
        <v>0</v>
      </c>
      <c r="H154" s="173">
        <v>7963.37</v>
      </c>
      <c r="I154" s="173">
        <v>0</v>
      </c>
      <c r="J154" s="120"/>
      <c r="K154" s="120"/>
      <c r="L154" s="120"/>
      <c r="M154" s="120"/>
      <c r="N154" s="120"/>
      <c r="O154" s="120"/>
      <c r="P154" s="120"/>
      <c r="Q154" s="120"/>
    </row>
    <row r="155" spans="1:17" s="121" customFormat="1" hidden="1" x14ac:dyDescent="0.25">
      <c r="A155" s="234"/>
      <c r="B155" s="175">
        <v>37</v>
      </c>
      <c r="C155" s="250"/>
      <c r="D155" s="253" t="s">
        <v>163</v>
      </c>
      <c r="E155" s="253"/>
      <c r="F155" s="253"/>
      <c r="G155" s="178">
        <f t="shared" ref="G155:I156" si="60">SUM(G156)</f>
        <v>0</v>
      </c>
      <c r="H155" s="178">
        <f t="shared" si="60"/>
        <v>0</v>
      </c>
      <c r="I155" s="178">
        <f t="shared" si="60"/>
        <v>0</v>
      </c>
      <c r="J155" s="120"/>
      <c r="K155" s="120"/>
      <c r="L155" s="120"/>
      <c r="M155" s="120"/>
      <c r="N155" s="120"/>
      <c r="O155" s="120"/>
      <c r="P155" s="120"/>
      <c r="Q155" s="120"/>
    </row>
    <row r="156" spans="1:17" s="121" customFormat="1" hidden="1" x14ac:dyDescent="0.25">
      <c r="A156" s="234"/>
      <c r="B156" s="179">
        <v>372</v>
      </c>
      <c r="C156" s="161"/>
      <c r="D156" s="254" t="s">
        <v>164</v>
      </c>
      <c r="E156" s="254"/>
      <c r="F156" s="254"/>
      <c r="G156" s="165">
        <f t="shared" si="60"/>
        <v>0</v>
      </c>
      <c r="H156" s="165">
        <f t="shared" si="60"/>
        <v>0</v>
      </c>
      <c r="I156" s="165">
        <f t="shared" si="60"/>
        <v>0</v>
      </c>
      <c r="J156" s="120"/>
      <c r="K156" s="120"/>
      <c r="L156" s="120"/>
      <c r="M156" s="120"/>
      <c r="N156" s="120"/>
      <c r="O156" s="120"/>
      <c r="P156" s="120"/>
      <c r="Q156" s="120"/>
    </row>
    <row r="157" spans="1:17" s="121" customFormat="1" hidden="1" x14ac:dyDescent="0.25">
      <c r="A157" s="234"/>
      <c r="B157" s="194">
        <v>3721</v>
      </c>
      <c r="C157" s="140"/>
      <c r="D157" s="255" t="s">
        <v>165</v>
      </c>
      <c r="E157" s="255"/>
      <c r="F157" s="255"/>
      <c r="G157" s="173">
        <v>0</v>
      </c>
      <c r="H157" s="173">
        <v>0</v>
      </c>
      <c r="I157" s="173"/>
      <c r="J157" s="120"/>
      <c r="K157" s="120"/>
      <c r="L157" s="120"/>
      <c r="M157" s="120"/>
      <c r="N157" s="120"/>
      <c r="O157" s="120"/>
      <c r="P157" s="120"/>
      <c r="Q157" s="120"/>
    </row>
    <row r="158" spans="1:17" s="121" customFormat="1" hidden="1" x14ac:dyDescent="0.25">
      <c r="A158" s="234"/>
      <c r="B158" s="141" t="s">
        <v>166</v>
      </c>
      <c r="C158" s="215"/>
      <c r="D158" s="233" t="s">
        <v>99</v>
      </c>
      <c r="E158" s="233"/>
      <c r="F158" s="233"/>
      <c r="G158" s="178">
        <f>G161+G159</f>
        <v>0</v>
      </c>
      <c r="H158" s="178">
        <f>H159+H161</f>
        <v>669408.59000000008</v>
      </c>
      <c r="I158" s="178">
        <f>I161+I159</f>
        <v>0</v>
      </c>
      <c r="J158" s="120"/>
      <c r="K158" s="120"/>
      <c r="L158" s="120"/>
      <c r="M158" s="120"/>
      <c r="N158" s="120"/>
      <c r="O158" s="120"/>
      <c r="P158" s="120"/>
      <c r="Q158" s="120"/>
    </row>
    <row r="159" spans="1:17" s="121" customFormat="1" hidden="1" x14ac:dyDescent="0.25">
      <c r="A159" s="234"/>
      <c r="B159" s="162" t="s">
        <v>167</v>
      </c>
      <c r="C159" s="202"/>
      <c r="D159" s="256" t="s">
        <v>168</v>
      </c>
      <c r="E159" s="256"/>
      <c r="F159" s="256"/>
      <c r="G159" s="165">
        <f>G160</f>
        <v>0</v>
      </c>
      <c r="H159" s="165">
        <f>H160</f>
        <v>485.64</v>
      </c>
      <c r="I159" s="165">
        <f>I160</f>
        <v>0</v>
      </c>
      <c r="J159" s="120"/>
      <c r="K159" s="120"/>
      <c r="L159" s="120"/>
      <c r="M159" s="120"/>
      <c r="N159" s="120"/>
      <c r="O159" s="120"/>
      <c r="P159" s="120"/>
      <c r="Q159" s="120"/>
    </row>
    <row r="160" spans="1:17" s="121" customFormat="1" hidden="1" x14ac:dyDescent="0.25">
      <c r="A160" s="234"/>
      <c r="B160" s="235" t="s">
        <v>169</v>
      </c>
      <c r="C160" s="234"/>
      <c r="D160" s="257" t="s">
        <v>168</v>
      </c>
      <c r="E160" s="257"/>
      <c r="F160" s="257"/>
      <c r="G160" s="173"/>
      <c r="H160" s="173">
        <v>485.64</v>
      </c>
      <c r="I160" s="173"/>
      <c r="J160" s="120"/>
      <c r="K160" s="120"/>
      <c r="L160" s="120"/>
      <c r="M160" s="120"/>
      <c r="N160" s="120"/>
      <c r="O160" s="120"/>
      <c r="P160" s="120"/>
      <c r="Q160" s="120"/>
    </row>
    <row r="161" spans="1:17" s="121" customFormat="1" hidden="1" x14ac:dyDescent="0.25">
      <c r="A161" s="234"/>
      <c r="B161" s="179">
        <v>383</v>
      </c>
      <c r="C161" s="161"/>
      <c r="D161" s="252" t="s">
        <v>170</v>
      </c>
      <c r="E161" s="252"/>
      <c r="F161" s="252"/>
      <c r="G161" s="165">
        <f>SUM(G162:G165)</f>
        <v>0</v>
      </c>
      <c r="H161" s="165">
        <f>SUM(H162:H165)</f>
        <v>668922.95000000007</v>
      </c>
      <c r="I161" s="165">
        <f>SUM(I162:I165)</f>
        <v>0</v>
      </c>
      <c r="J161" s="120"/>
      <c r="K161" s="120"/>
      <c r="L161" s="120"/>
      <c r="M161" s="120"/>
      <c r="N161" s="120"/>
      <c r="O161" s="120"/>
      <c r="P161" s="120"/>
      <c r="Q161" s="120"/>
    </row>
    <row r="162" spans="1:17" s="121" customFormat="1" hidden="1" x14ac:dyDescent="0.25">
      <c r="A162" s="234"/>
      <c r="B162" s="194">
        <v>3831</v>
      </c>
      <c r="C162" s="140"/>
      <c r="D162" s="249" t="s">
        <v>171</v>
      </c>
      <c r="E162" s="249"/>
      <c r="F162" s="249"/>
      <c r="G162" s="173">
        <v>0</v>
      </c>
      <c r="H162" s="173">
        <v>0</v>
      </c>
      <c r="I162" s="173">
        <v>0</v>
      </c>
      <c r="J162" s="120"/>
      <c r="K162" s="120"/>
      <c r="L162" s="120"/>
      <c r="M162" s="120"/>
      <c r="N162" s="120"/>
      <c r="O162" s="120"/>
      <c r="P162" s="120"/>
      <c r="Q162" s="120"/>
    </row>
    <row r="163" spans="1:17" s="121" customFormat="1" hidden="1" x14ac:dyDescent="0.25">
      <c r="A163" s="234"/>
      <c r="B163" s="194">
        <v>3833</v>
      </c>
      <c r="C163" s="140"/>
      <c r="D163" s="249" t="s">
        <v>172</v>
      </c>
      <c r="E163" s="249"/>
      <c r="F163" s="249"/>
      <c r="G163" s="173"/>
      <c r="H163" s="173">
        <v>663614.04</v>
      </c>
      <c r="I163" s="173">
        <v>0</v>
      </c>
      <c r="J163" s="120"/>
      <c r="K163" s="120"/>
      <c r="L163" s="120"/>
      <c r="M163" s="120"/>
      <c r="N163" s="120"/>
      <c r="O163" s="120"/>
      <c r="P163" s="120"/>
      <c r="Q163" s="120"/>
    </row>
    <row r="164" spans="1:17" s="121" customFormat="1" hidden="1" x14ac:dyDescent="0.25">
      <c r="A164" s="234"/>
      <c r="B164" s="194">
        <v>3834</v>
      </c>
      <c r="C164" s="140"/>
      <c r="D164" s="249" t="s">
        <v>173</v>
      </c>
      <c r="E164" s="249"/>
      <c r="F164" s="249"/>
      <c r="G164" s="173"/>
      <c r="H164" s="173">
        <v>5308.91</v>
      </c>
      <c r="I164" s="173">
        <v>0</v>
      </c>
      <c r="J164" s="120"/>
      <c r="K164" s="120"/>
      <c r="L164" s="120"/>
      <c r="M164" s="120"/>
      <c r="N164" s="120"/>
      <c r="O164" s="120"/>
      <c r="P164" s="120"/>
      <c r="Q164" s="120"/>
    </row>
    <row r="165" spans="1:17" s="121" customFormat="1" hidden="1" x14ac:dyDescent="0.25">
      <c r="A165" s="234"/>
      <c r="B165" s="194">
        <v>3835</v>
      </c>
      <c r="C165" s="140"/>
      <c r="D165" s="249" t="s">
        <v>174</v>
      </c>
      <c r="E165" s="249"/>
      <c r="F165" s="249"/>
      <c r="G165" s="173"/>
      <c r="H165" s="173">
        <v>0</v>
      </c>
      <c r="I165" s="173"/>
      <c r="J165" s="120"/>
      <c r="K165" s="120"/>
      <c r="L165" s="120"/>
      <c r="M165" s="120"/>
      <c r="N165" s="120"/>
      <c r="O165" s="120"/>
      <c r="P165" s="120"/>
      <c r="Q165" s="120"/>
    </row>
    <row r="166" spans="1:17" s="121" customFormat="1" hidden="1" x14ac:dyDescent="0.25">
      <c r="A166" s="258">
        <v>4</v>
      </c>
      <c r="B166" s="259"/>
      <c r="C166" s="260"/>
      <c r="D166" s="261" t="s">
        <v>175</v>
      </c>
      <c r="E166" s="261"/>
      <c r="F166" s="261"/>
      <c r="G166" s="214">
        <f>G167+G172+G184</f>
        <v>0</v>
      </c>
      <c r="H166" s="214">
        <f>H167+H172+H184</f>
        <v>272061.05</v>
      </c>
      <c r="I166" s="214">
        <f>I167+I172+I184</f>
        <v>0</v>
      </c>
      <c r="J166" s="120"/>
      <c r="K166" s="120"/>
      <c r="L166" s="120"/>
      <c r="M166" s="120"/>
      <c r="N166" s="120"/>
      <c r="O166" s="120"/>
      <c r="P166" s="120"/>
      <c r="Q166" s="120"/>
    </row>
    <row r="167" spans="1:17" s="121" customFormat="1" hidden="1" x14ac:dyDescent="0.25">
      <c r="A167" s="167"/>
      <c r="B167" s="141" t="s">
        <v>176</v>
      </c>
      <c r="C167" s="215"/>
      <c r="D167" s="262" t="s">
        <v>177</v>
      </c>
      <c r="E167" s="262"/>
      <c r="F167" s="262"/>
      <c r="G167" s="178">
        <f>SUM(G170)</f>
        <v>0</v>
      </c>
      <c r="H167" s="178">
        <f>SUM(H168,H170)</f>
        <v>4645.3</v>
      </c>
      <c r="I167" s="178">
        <f>SUM(I168,I170)</f>
        <v>0</v>
      </c>
      <c r="J167" s="120"/>
      <c r="K167" s="120"/>
      <c r="L167" s="120"/>
      <c r="M167" s="120"/>
      <c r="N167" s="120"/>
      <c r="O167" s="120"/>
      <c r="P167" s="120"/>
      <c r="Q167" s="120"/>
    </row>
    <row r="168" spans="1:17" s="121" customFormat="1" hidden="1" x14ac:dyDescent="0.25">
      <c r="A168" s="167"/>
      <c r="B168" s="162" t="s">
        <v>178</v>
      </c>
      <c r="C168" s="202"/>
      <c r="D168" s="263" t="s">
        <v>179</v>
      </c>
      <c r="E168" s="263"/>
      <c r="F168" s="263"/>
      <c r="G168" s="165">
        <f>SUM(G169)</f>
        <v>0</v>
      </c>
      <c r="H168" s="165">
        <f>SUM(H169)</f>
        <v>4645.3</v>
      </c>
      <c r="I168" s="165">
        <f>SUM(I169)</f>
        <v>0</v>
      </c>
      <c r="J168" s="120"/>
      <c r="K168" s="120"/>
      <c r="L168" s="120"/>
      <c r="M168" s="120"/>
      <c r="N168" s="120"/>
      <c r="O168" s="120"/>
      <c r="P168" s="120"/>
      <c r="Q168" s="120"/>
    </row>
    <row r="169" spans="1:17" s="121" customFormat="1" hidden="1" x14ac:dyDescent="0.25">
      <c r="A169" s="167"/>
      <c r="B169" s="235" t="s">
        <v>180</v>
      </c>
      <c r="C169" s="234"/>
      <c r="D169" s="264" t="s">
        <v>181</v>
      </c>
      <c r="E169" s="264"/>
      <c r="F169" s="264"/>
      <c r="G169" s="173">
        <v>0</v>
      </c>
      <c r="H169" s="173">
        <v>4645.3</v>
      </c>
      <c r="I169" s="173">
        <v>0</v>
      </c>
      <c r="J169" s="120"/>
      <c r="K169" s="120"/>
      <c r="L169" s="120"/>
      <c r="M169" s="120"/>
      <c r="N169" s="120"/>
      <c r="O169" s="120"/>
      <c r="P169" s="120"/>
      <c r="Q169" s="120"/>
    </row>
    <row r="170" spans="1:17" s="121" customFormat="1" hidden="1" x14ac:dyDescent="0.25">
      <c r="A170" s="167"/>
      <c r="B170" s="184">
        <v>412</v>
      </c>
      <c r="C170" s="166"/>
      <c r="D170" s="265" t="s">
        <v>182</v>
      </c>
      <c r="E170" s="265"/>
      <c r="F170" s="265"/>
      <c r="G170" s="165">
        <f>SUM(G171)</f>
        <v>0</v>
      </c>
      <c r="H170" s="165">
        <f>SUM(H171)</f>
        <v>0</v>
      </c>
      <c r="I170" s="165">
        <f>SUM(I171)</f>
        <v>0</v>
      </c>
      <c r="J170" s="120"/>
      <c r="K170" s="120"/>
      <c r="L170" s="120"/>
      <c r="M170" s="120"/>
      <c r="N170" s="120"/>
      <c r="O170" s="120"/>
      <c r="P170" s="120"/>
      <c r="Q170" s="120"/>
    </row>
    <row r="171" spans="1:17" s="121" customFormat="1" hidden="1" x14ac:dyDescent="0.25">
      <c r="A171" s="190"/>
      <c r="B171" s="187">
        <v>4123</v>
      </c>
      <c r="C171" s="170"/>
      <c r="D171" s="266" t="s">
        <v>183</v>
      </c>
      <c r="E171" s="266"/>
      <c r="F171" s="266"/>
      <c r="G171" s="173">
        <v>0</v>
      </c>
      <c r="H171" s="173">
        <v>0</v>
      </c>
      <c r="I171" s="173">
        <v>0</v>
      </c>
      <c r="J171" s="120"/>
      <c r="K171" s="120"/>
      <c r="L171" s="120"/>
      <c r="M171" s="120"/>
      <c r="N171" s="120"/>
      <c r="O171" s="120"/>
      <c r="P171" s="120"/>
      <c r="Q171" s="120"/>
    </row>
    <row r="172" spans="1:17" s="121" customFormat="1" hidden="1" x14ac:dyDescent="0.25">
      <c r="A172" s="234"/>
      <c r="B172" s="141">
        <v>42</v>
      </c>
      <c r="C172" s="215"/>
      <c r="D172" s="233" t="s">
        <v>184</v>
      </c>
      <c r="E172" s="233"/>
      <c r="F172" s="233"/>
      <c r="G172" s="178">
        <f>SUM(G173,G180,G182)</f>
        <v>0</v>
      </c>
      <c r="H172" s="178">
        <f>SUM(H173,H180)</f>
        <v>227532.54</v>
      </c>
      <c r="I172" s="178">
        <f>SUM(I173,I180,I182)</f>
        <v>0</v>
      </c>
      <c r="J172" s="120"/>
      <c r="K172" s="120"/>
      <c r="L172" s="120"/>
      <c r="M172" s="120"/>
      <c r="N172" s="120"/>
      <c r="O172" s="120"/>
      <c r="P172" s="120"/>
      <c r="Q172" s="120"/>
    </row>
    <row r="173" spans="1:17" s="121" customFormat="1" hidden="1" x14ac:dyDescent="0.25">
      <c r="A173" s="234"/>
      <c r="B173" s="162">
        <v>422</v>
      </c>
      <c r="C173" s="234"/>
      <c r="D173" s="202" t="s">
        <v>185</v>
      </c>
      <c r="E173" s="202"/>
      <c r="F173" s="202"/>
      <c r="G173" s="165">
        <f>SUM(G174:G179)</f>
        <v>0</v>
      </c>
      <c r="H173" s="165">
        <f>SUM(H174:H179)</f>
        <v>214260.26</v>
      </c>
      <c r="I173" s="165">
        <f>SUM(I174:I179)</f>
        <v>0</v>
      </c>
      <c r="J173" s="120"/>
      <c r="K173" s="120"/>
      <c r="L173" s="120"/>
      <c r="M173" s="120"/>
      <c r="N173" s="120"/>
      <c r="O173" s="120"/>
      <c r="P173" s="120"/>
      <c r="Q173" s="120"/>
    </row>
    <row r="174" spans="1:17" s="121" customFormat="1" hidden="1" x14ac:dyDescent="0.25">
      <c r="A174" s="234"/>
      <c r="B174" s="235" t="s">
        <v>186</v>
      </c>
      <c r="C174" s="234"/>
      <c r="D174" s="234" t="s">
        <v>187</v>
      </c>
      <c r="E174" s="234"/>
      <c r="F174" s="234"/>
      <c r="G174" s="173"/>
      <c r="H174" s="173">
        <v>53089.120000000003</v>
      </c>
      <c r="I174" s="173"/>
      <c r="J174" s="120"/>
      <c r="K174" s="120"/>
      <c r="L174" s="120"/>
      <c r="M174" s="120"/>
      <c r="N174" s="120"/>
      <c r="O174" s="120"/>
      <c r="P174" s="120"/>
      <c r="Q174" s="120"/>
    </row>
    <row r="175" spans="1:17" s="121" customFormat="1" hidden="1" x14ac:dyDescent="0.25">
      <c r="A175" s="234"/>
      <c r="B175" s="235" t="s">
        <v>188</v>
      </c>
      <c r="C175" s="234"/>
      <c r="D175" s="234" t="s">
        <v>189</v>
      </c>
      <c r="E175" s="234"/>
      <c r="F175" s="234"/>
      <c r="G175" s="173"/>
      <c r="H175" s="173">
        <v>0</v>
      </c>
      <c r="I175" s="173">
        <v>0</v>
      </c>
      <c r="J175" s="120"/>
      <c r="K175" s="120"/>
      <c r="L175" s="120"/>
      <c r="M175" s="120"/>
      <c r="N175" s="120"/>
      <c r="O175" s="120"/>
      <c r="P175" s="120"/>
      <c r="Q175" s="120"/>
    </row>
    <row r="176" spans="1:17" s="121" customFormat="1" hidden="1" x14ac:dyDescent="0.25">
      <c r="A176" s="190"/>
      <c r="B176" s="187">
        <v>4223</v>
      </c>
      <c r="C176" s="170"/>
      <c r="D176" s="266" t="s">
        <v>190</v>
      </c>
      <c r="E176" s="266"/>
      <c r="F176" s="266"/>
      <c r="G176" s="173"/>
      <c r="H176" s="173">
        <v>13272.28</v>
      </c>
      <c r="I176" s="173">
        <v>0</v>
      </c>
      <c r="J176" s="120"/>
      <c r="K176" s="120"/>
      <c r="L176" s="120"/>
      <c r="M176" s="120"/>
      <c r="N176" s="120"/>
      <c r="O176" s="120"/>
      <c r="P176" s="120"/>
      <c r="Q176" s="120"/>
    </row>
    <row r="177" spans="1:17" s="121" customFormat="1" hidden="1" x14ac:dyDescent="0.25">
      <c r="A177" s="190"/>
      <c r="B177" s="187">
        <v>4224</v>
      </c>
      <c r="C177" s="170"/>
      <c r="D177" s="266" t="s">
        <v>191</v>
      </c>
      <c r="E177" s="266"/>
      <c r="F177" s="266"/>
      <c r="G177" s="173"/>
      <c r="H177" s="173">
        <v>72201.210000000006</v>
      </c>
      <c r="I177" s="173"/>
      <c r="J177" s="120"/>
      <c r="K177" s="120"/>
      <c r="L177" s="120"/>
      <c r="M177" s="120"/>
      <c r="N177" s="120"/>
      <c r="O177" s="120"/>
      <c r="P177" s="120"/>
      <c r="Q177" s="120"/>
    </row>
    <row r="178" spans="1:17" s="121" customFormat="1" hidden="1" x14ac:dyDescent="0.25">
      <c r="A178" s="190"/>
      <c r="B178" s="187">
        <v>4225</v>
      </c>
      <c r="C178" s="170"/>
      <c r="D178" s="266" t="s">
        <v>192</v>
      </c>
      <c r="E178" s="266"/>
      <c r="F178" s="266"/>
      <c r="G178" s="173"/>
      <c r="H178" s="173">
        <v>71715.97</v>
      </c>
      <c r="I178" s="173">
        <v>0</v>
      </c>
      <c r="J178" s="120"/>
      <c r="K178" s="120"/>
      <c r="L178" s="120"/>
      <c r="M178" s="120"/>
      <c r="N178" s="120"/>
      <c r="O178" s="120"/>
      <c r="P178" s="120"/>
      <c r="Q178" s="120"/>
    </row>
    <row r="179" spans="1:17" s="121" customFormat="1" hidden="1" x14ac:dyDescent="0.25">
      <c r="A179" s="190"/>
      <c r="B179" s="187">
        <v>4227</v>
      </c>
      <c r="C179" s="170"/>
      <c r="D179" s="266" t="s">
        <v>193</v>
      </c>
      <c r="E179" s="266"/>
      <c r="F179" s="266"/>
      <c r="G179" s="173">
        <v>0</v>
      </c>
      <c r="H179" s="173">
        <v>3981.68</v>
      </c>
      <c r="I179" s="173">
        <v>0</v>
      </c>
      <c r="J179" s="120"/>
      <c r="K179" s="120"/>
      <c r="L179" s="120"/>
      <c r="M179" s="120"/>
      <c r="N179" s="120"/>
      <c r="O179" s="120"/>
      <c r="P179" s="120"/>
      <c r="Q179" s="120"/>
    </row>
    <row r="180" spans="1:17" s="139" customFormat="1" hidden="1" x14ac:dyDescent="0.25">
      <c r="A180" s="167"/>
      <c r="B180" s="184">
        <v>423</v>
      </c>
      <c r="C180" s="166"/>
      <c r="D180" s="265" t="s">
        <v>194</v>
      </c>
      <c r="E180" s="265"/>
      <c r="F180" s="265"/>
      <c r="G180" s="165">
        <f>G181</f>
        <v>0</v>
      </c>
      <c r="H180" s="165">
        <f>H181</f>
        <v>13272.28</v>
      </c>
      <c r="I180" s="165">
        <f>I181</f>
        <v>0</v>
      </c>
      <c r="J180" s="138"/>
      <c r="K180" s="138"/>
      <c r="L180" s="138"/>
      <c r="M180" s="138"/>
      <c r="N180" s="138"/>
      <c r="O180" s="138"/>
      <c r="P180" s="138"/>
      <c r="Q180" s="138"/>
    </row>
    <row r="181" spans="1:17" s="121" customFormat="1" hidden="1" x14ac:dyDescent="0.25">
      <c r="A181" s="190"/>
      <c r="B181" s="187">
        <v>4231</v>
      </c>
      <c r="C181" s="170"/>
      <c r="D181" s="266" t="s">
        <v>194</v>
      </c>
      <c r="E181" s="266"/>
      <c r="F181" s="266"/>
      <c r="G181" s="173"/>
      <c r="H181" s="173">
        <v>13272.28</v>
      </c>
      <c r="I181" s="173"/>
      <c r="J181" s="120"/>
      <c r="K181" s="120"/>
      <c r="L181" s="120"/>
      <c r="M181" s="120"/>
      <c r="N181" s="120"/>
      <c r="O181" s="120"/>
      <c r="P181" s="120"/>
      <c r="Q181" s="120"/>
    </row>
    <row r="182" spans="1:17" s="139" customFormat="1" hidden="1" x14ac:dyDescent="0.25">
      <c r="A182" s="167"/>
      <c r="B182" s="184">
        <v>426</v>
      </c>
      <c r="C182" s="166"/>
      <c r="D182" s="265" t="s">
        <v>195</v>
      </c>
      <c r="E182" s="265"/>
      <c r="F182" s="265"/>
      <c r="G182" s="165">
        <f>G183</f>
        <v>0</v>
      </c>
      <c r="H182" s="165">
        <f>H183</f>
        <v>0</v>
      </c>
      <c r="I182" s="165">
        <f>I183</f>
        <v>0</v>
      </c>
      <c r="J182" s="138"/>
      <c r="K182" s="138"/>
      <c r="L182" s="138"/>
      <c r="M182" s="138"/>
      <c r="N182" s="138"/>
      <c r="O182" s="138"/>
      <c r="P182" s="138"/>
      <c r="Q182" s="138"/>
    </row>
    <row r="183" spans="1:17" s="121" customFormat="1" hidden="1" x14ac:dyDescent="0.25">
      <c r="A183" s="190"/>
      <c r="B183" s="187">
        <v>4262</v>
      </c>
      <c r="C183" s="170"/>
      <c r="D183" s="266" t="s">
        <v>196</v>
      </c>
      <c r="E183" s="266"/>
      <c r="F183" s="266"/>
      <c r="G183" s="173"/>
      <c r="H183" s="173">
        <v>0</v>
      </c>
      <c r="I183" s="173">
        <v>0</v>
      </c>
      <c r="J183" s="120"/>
      <c r="K183" s="120"/>
      <c r="L183" s="120"/>
      <c r="M183" s="120"/>
      <c r="N183" s="120"/>
      <c r="O183" s="120"/>
      <c r="P183" s="120"/>
      <c r="Q183" s="120"/>
    </row>
    <row r="184" spans="1:17" s="121" customFormat="1" hidden="1" x14ac:dyDescent="0.25">
      <c r="A184" s="190"/>
      <c r="B184" s="141" t="s">
        <v>197</v>
      </c>
      <c r="C184" s="215"/>
      <c r="D184" s="262" t="s">
        <v>198</v>
      </c>
      <c r="E184" s="262"/>
      <c r="F184" s="262"/>
      <c r="G184" s="178">
        <f>G185+G187</f>
        <v>0</v>
      </c>
      <c r="H184" s="178">
        <f>H185</f>
        <v>39883.21</v>
      </c>
      <c r="I184" s="178">
        <f>I185</f>
        <v>0</v>
      </c>
      <c r="J184" s="120"/>
      <c r="K184" s="120"/>
      <c r="L184" s="120"/>
      <c r="M184" s="120"/>
      <c r="N184" s="120"/>
      <c r="O184" s="120"/>
      <c r="P184" s="120"/>
      <c r="Q184" s="120"/>
    </row>
    <row r="185" spans="1:17" s="121" customFormat="1" hidden="1" x14ac:dyDescent="0.25">
      <c r="A185" s="190"/>
      <c r="B185" s="162" t="s">
        <v>199</v>
      </c>
      <c r="C185" s="234"/>
      <c r="D185" s="202" t="s">
        <v>200</v>
      </c>
      <c r="E185" s="202"/>
      <c r="F185" s="202"/>
      <c r="G185" s="165">
        <f>G186</f>
        <v>0</v>
      </c>
      <c r="H185" s="165">
        <f>H186</f>
        <v>39883.21</v>
      </c>
      <c r="I185" s="165">
        <f>I186</f>
        <v>0</v>
      </c>
      <c r="J185" s="120"/>
      <c r="K185" s="120"/>
      <c r="L185" s="120"/>
      <c r="M185" s="120"/>
      <c r="N185" s="120"/>
      <c r="O185" s="120"/>
      <c r="P185" s="120"/>
      <c r="Q185" s="120"/>
    </row>
    <row r="186" spans="1:17" s="121" customFormat="1" hidden="1" x14ac:dyDescent="0.25">
      <c r="A186" s="190"/>
      <c r="B186" s="235" t="s">
        <v>201</v>
      </c>
      <c r="C186" s="234"/>
      <c r="D186" s="234" t="s">
        <v>200</v>
      </c>
      <c r="E186" s="234"/>
      <c r="F186" s="234"/>
      <c r="G186" s="173"/>
      <c r="H186" s="173">
        <f>21633.82+18249.39</f>
        <v>39883.21</v>
      </c>
      <c r="I186" s="173">
        <v>0</v>
      </c>
      <c r="J186" s="120"/>
      <c r="K186" s="120"/>
      <c r="L186" s="120"/>
      <c r="M186" s="120"/>
      <c r="N186" s="120"/>
      <c r="O186" s="120"/>
      <c r="P186" s="120"/>
      <c r="Q186" s="120"/>
    </row>
    <row r="187" spans="1:17" s="121" customFormat="1" hidden="1" x14ac:dyDescent="0.25">
      <c r="A187" s="190"/>
      <c r="B187" s="162" t="s">
        <v>202</v>
      </c>
      <c r="C187" s="202"/>
      <c r="D187" s="202" t="s">
        <v>203</v>
      </c>
      <c r="E187" s="202"/>
      <c r="F187" s="202"/>
      <c r="G187" s="165">
        <f>G188</f>
        <v>0</v>
      </c>
      <c r="H187" s="165">
        <f>H188</f>
        <v>0</v>
      </c>
      <c r="I187" s="165">
        <f>I188</f>
        <v>0</v>
      </c>
      <c r="J187" s="120"/>
      <c r="K187" s="120"/>
      <c r="L187" s="120"/>
      <c r="M187" s="120"/>
      <c r="N187" s="120"/>
      <c r="O187" s="120"/>
      <c r="P187" s="120"/>
      <c r="Q187" s="120"/>
    </row>
    <row r="188" spans="1:17" s="121" customFormat="1" hidden="1" x14ac:dyDescent="0.25">
      <c r="A188" s="190"/>
      <c r="B188" s="235" t="s">
        <v>204</v>
      </c>
      <c r="C188" s="234"/>
      <c r="D188" s="234" t="s">
        <v>205</v>
      </c>
      <c r="E188" s="234"/>
      <c r="F188" s="234"/>
      <c r="G188" s="173"/>
      <c r="H188" s="173">
        <v>0</v>
      </c>
      <c r="I188" s="173">
        <v>0</v>
      </c>
      <c r="J188" s="120"/>
      <c r="K188" s="120"/>
      <c r="L188" s="120"/>
      <c r="M188" s="120"/>
      <c r="N188" s="120"/>
      <c r="O188" s="120"/>
      <c r="P188" s="120"/>
      <c r="Q188" s="120"/>
    </row>
    <row r="189" spans="1:17" s="121" customFormat="1" hidden="1" x14ac:dyDescent="0.25">
      <c r="A189" s="267"/>
      <c r="B189" s="268"/>
      <c r="C189" s="156">
        <v>43</v>
      </c>
      <c r="D189" s="157" t="s">
        <v>56</v>
      </c>
      <c r="E189" s="157"/>
      <c r="F189" s="157"/>
      <c r="G189" s="269">
        <f>G166+G102</f>
        <v>0</v>
      </c>
      <c r="H189" s="269">
        <f>H166+H102</f>
        <v>59462511.659999989</v>
      </c>
      <c r="I189" s="269">
        <f>I166+I102</f>
        <v>0</v>
      </c>
      <c r="J189" s="120"/>
      <c r="K189" s="120"/>
      <c r="L189" s="120"/>
      <c r="M189" s="120"/>
      <c r="N189" s="120"/>
      <c r="O189" s="120"/>
      <c r="P189" s="120"/>
      <c r="Q189" s="120"/>
    </row>
    <row r="190" spans="1:17" s="121" customFormat="1" hidden="1" x14ac:dyDescent="0.25">
      <c r="A190" s="229" t="s">
        <v>87</v>
      </c>
      <c r="B190" s="229"/>
      <c r="C190" s="230"/>
      <c r="D190" s="231" t="s">
        <v>88</v>
      </c>
      <c r="E190" s="231"/>
      <c r="F190" s="231"/>
      <c r="G190" s="232">
        <f>G191+G201+G232+G238+G241</f>
        <v>0</v>
      </c>
      <c r="H190" s="232">
        <f>H191+H201+H238+H232+H241</f>
        <v>4824119.8499999996</v>
      </c>
      <c r="I190" s="232">
        <f>I191+I201+I232+I238+I241</f>
        <v>0</v>
      </c>
      <c r="J190" s="120"/>
      <c r="K190" s="120"/>
      <c r="L190" s="120"/>
      <c r="M190" s="120"/>
      <c r="N190" s="120"/>
      <c r="O190" s="120"/>
      <c r="P190" s="120"/>
      <c r="Q190" s="120"/>
    </row>
    <row r="191" spans="1:17" s="121" customFormat="1" hidden="1" x14ac:dyDescent="0.25">
      <c r="A191" s="202"/>
      <c r="B191" s="141">
        <v>31</v>
      </c>
      <c r="C191" s="215"/>
      <c r="D191" s="233" t="s">
        <v>89</v>
      </c>
      <c r="E191" s="233"/>
      <c r="F191" s="233"/>
      <c r="G191" s="144">
        <f>G192+G197+G199</f>
        <v>0</v>
      </c>
      <c r="H191" s="144">
        <f>H192+H197+H199</f>
        <v>1554293.06</v>
      </c>
      <c r="I191" s="144">
        <f>I192+I197+I199</f>
        <v>0</v>
      </c>
      <c r="J191" s="120"/>
      <c r="K191" s="120"/>
      <c r="L191" s="120"/>
      <c r="M191" s="120"/>
      <c r="N191" s="120"/>
      <c r="O191" s="120"/>
      <c r="P191" s="120"/>
      <c r="Q191" s="120"/>
    </row>
    <row r="192" spans="1:17" s="121" customFormat="1" hidden="1" x14ac:dyDescent="0.25">
      <c r="A192" s="202"/>
      <c r="B192" s="162">
        <v>311</v>
      </c>
      <c r="C192" s="234"/>
      <c r="D192" s="202" t="s">
        <v>90</v>
      </c>
      <c r="E192" s="202"/>
      <c r="F192" s="202"/>
      <c r="G192" s="165">
        <f>SUM(G193:G196)</f>
        <v>0</v>
      </c>
      <c r="H192" s="165">
        <f>SUM(H193:H196)</f>
        <v>1340372.43</v>
      </c>
      <c r="I192" s="165">
        <f>SUM(I193:I196)</f>
        <v>0</v>
      </c>
      <c r="J192" s="120"/>
      <c r="K192" s="120"/>
      <c r="L192" s="120"/>
      <c r="M192" s="120"/>
      <c r="N192" s="120"/>
      <c r="O192" s="120"/>
      <c r="P192" s="120"/>
      <c r="Q192" s="120"/>
    </row>
    <row r="193" spans="1:17" s="121" customFormat="1" hidden="1" x14ac:dyDescent="0.25">
      <c r="A193" s="234"/>
      <c r="B193" s="235">
        <v>3111</v>
      </c>
      <c r="C193" s="234"/>
      <c r="D193" s="234" t="s">
        <v>91</v>
      </c>
      <c r="E193" s="234"/>
      <c r="F193" s="234"/>
      <c r="G193" s="173"/>
      <c r="H193" s="173">
        <f>1263658.65+72997.54</f>
        <v>1336656.19</v>
      </c>
      <c r="I193" s="173"/>
      <c r="J193" s="120"/>
      <c r="K193" s="120"/>
      <c r="L193" s="120"/>
      <c r="M193" s="120"/>
      <c r="N193" s="120"/>
      <c r="O193" s="120"/>
      <c r="P193" s="120"/>
      <c r="Q193" s="120"/>
    </row>
    <row r="194" spans="1:17" s="139" customFormat="1" hidden="1" x14ac:dyDescent="0.25">
      <c r="A194" s="234"/>
      <c r="B194" s="235" t="s">
        <v>92</v>
      </c>
      <c r="C194" s="234"/>
      <c r="D194" s="234" t="s">
        <v>93</v>
      </c>
      <c r="E194" s="234"/>
      <c r="F194" s="234"/>
      <c r="G194" s="173">
        <v>0</v>
      </c>
      <c r="H194" s="173">
        <v>0</v>
      </c>
      <c r="I194" s="173">
        <v>0</v>
      </c>
      <c r="J194" s="138"/>
      <c r="K194" s="138"/>
      <c r="L194" s="138"/>
      <c r="M194" s="138"/>
      <c r="N194" s="138"/>
      <c r="O194" s="138"/>
      <c r="P194" s="138"/>
      <c r="Q194" s="138"/>
    </row>
    <row r="195" spans="1:17" s="139" customFormat="1" hidden="1" x14ac:dyDescent="0.25">
      <c r="A195" s="234"/>
      <c r="B195" s="235" t="s">
        <v>94</v>
      </c>
      <c r="C195" s="234"/>
      <c r="D195" s="234" t="s">
        <v>95</v>
      </c>
      <c r="E195" s="234"/>
      <c r="F195" s="234"/>
      <c r="G195" s="173">
        <v>0</v>
      </c>
      <c r="H195" s="173">
        <v>0</v>
      </c>
      <c r="I195" s="173">
        <v>0</v>
      </c>
      <c r="J195" s="138"/>
      <c r="K195" s="138"/>
      <c r="L195" s="138"/>
      <c r="M195" s="138"/>
      <c r="N195" s="138"/>
      <c r="O195" s="138"/>
      <c r="P195" s="138"/>
      <c r="Q195" s="138"/>
    </row>
    <row r="196" spans="1:17" s="121" customFormat="1" ht="15.75" hidden="1" customHeight="1" x14ac:dyDescent="0.25">
      <c r="A196" s="234"/>
      <c r="B196" s="235" t="s">
        <v>96</v>
      </c>
      <c r="C196" s="234"/>
      <c r="D196" s="234" t="s">
        <v>97</v>
      </c>
      <c r="E196" s="234"/>
      <c r="F196" s="234"/>
      <c r="G196" s="173"/>
      <c r="H196" s="173">
        <v>3716.24</v>
      </c>
      <c r="I196" s="173">
        <v>0</v>
      </c>
      <c r="J196" s="120"/>
      <c r="K196" s="120"/>
      <c r="L196" s="120"/>
      <c r="M196" s="120"/>
      <c r="N196" s="120"/>
      <c r="O196" s="120"/>
      <c r="P196" s="120"/>
      <c r="Q196" s="120"/>
    </row>
    <row r="197" spans="1:17" s="121" customFormat="1" ht="15.75" hidden="1" customHeight="1" x14ac:dyDescent="0.25">
      <c r="A197" s="202"/>
      <c r="B197" s="162" t="s">
        <v>98</v>
      </c>
      <c r="C197" s="202"/>
      <c r="D197" s="202" t="s">
        <v>99</v>
      </c>
      <c r="E197" s="202"/>
      <c r="F197" s="202"/>
      <c r="G197" s="165">
        <f>SUM(G198)</f>
        <v>0</v>
      </c>
      <c r="H197" s="165">
        <f>SUM(H198)</f>
        <v>124709.13</v>
      </c>
      <c r="I197" s="165">
        <f>SUM(I198)</f>
        <v>0</v>
      </c>
      <c r="J197" s="120"/>
      <c r="K197" s="120"/>
      <c r="L197" s="120"/>
      <c r="M197" s="120"/>
      <c r="N197" s="120"/>
      <c r="O197" s="120"/>
      <c r="P197" s="120"/>
      <c r="Q197" s="120"/>
    </row>
    <row r="198" spans="1:17" s="121" customFormat="1" ht="15.75" hidden="1" customHeight="1" x14ac:dyDescent="0.25">
      <c r="A198" s="234"/>
      <c r="B198" s="235" t="s">
        <v>100</v>
      </c>
      <c r="C198" s="234"/>
      <c r="D198" s="234" t="s">
        <v>99</v>
      </c>
      <c r="E198" s="234"/>
      <c r="F198" s="234"/>
      <c r="G198" s="173"/>
      <c r="H198" s="173">
        <f>118736.6+5972.53</f>
        <v>124709.13</v>
      </c>
      <c r="I198" s="173"/>
      <c r="J198" s="120"/>
      <c r="K198" s="120"/>
      <c r="L198" s="120"/>
      <c r="M198" s="120"/>
      <c r="N198" s="120"/>
      <c r="O198" s="120"/>
      <c r="P198" s="120"/>
      <c r="Q198" s="120"/>
    </row>
    <row r="199" spans="1:17" s="139" customFormat="1" ht="15.75" hidden="1" customHeight="1" x14ac:dyDescent="0.25">
      <c r="A199" s="202"/>
      <c r="B199" s="166">
        <v>313</v>
      </c>
      <c r="C199" s="202"/>
      <c r="D199" s="202" t="s">
        <v>101</v>
      </c>
      <c r="E199" s="202"/>
      <c r="F199" s="202"/>
      <c r="G199" s="240">
        <f>SUM(G200:G200)</f>
        <v>0</v>
      </c>
      <c r="H199" s="240">
        <f>SUM(H200:H200)</f>
        <v>89211.5</v>
      </c>
      <c r="I199" s="240">
        <f>SUM(I200:I200)</f>
        <v>0</v>
      </c>
      <c r="J199" s="138"/>
      <c r="K199" s="138"/>
      <c r="L199" s="138"/>
      <c r="M199" s="138"/>
      <c r="N199" s="138"/>
      <c r="O199" s="138"/>
      <c r="P199" s="138"/>
      <c r="Q199" s="138"/>
    </row>
    <row r="200" spans="1:17" s="139" customFormat="1" ht="15.75" hidden="1" customHeight="1" x14ac:dyDescent="0.25">
      <c r="A200" s="234"/>
      <c r="B200" s="170">
        <v>3132</v>
      </c>
      <c r="C200" s="234"/>
      <c r="D200" s="234" t="s">
        <v>102</v>
      </c>
      <c r="E200" s="234"/>
      <c r="F200" s="234"/>
      <c r="G200" s="241"/>
      <c r="H200" s="241">
        <f>69966.69+19244.81</f>
        <v>89211.5</v>
      </c>
      <c r="I200" s="241"/>
      <c r="J200" s="138"/>
      <c r="K200" s="138"/>
      <c r="L200" s="138"/>
      <c r="M200" s="138"/>
      <c r="N200" s="138"/>
      <c r="O200" s="138"/>
      <c r="P200" s="138"/>
      <c r="Q200" s="138"/>
    </row>
    <row r="201" spans="1:17" s="139" customFormat="1" ht="17.25" hidden="1" customHeight="1" x14ac:dyDescent="0.25">
      <c r="A201" s="202"/>
      <c r="B201" s="141">
        <v>32</v>
      </c>
      <c r="C201" s="215"/>
      <c r="D201" s="233" t="s">
        <v>103</v>
      </c>
      <c r="E201" s="233"/>
      <c r="F201" s="233"/>
      <c r="G201" s="144">
        <f>G202+G207+G214+G224</f>
        <v>0</v>
      </c>
      <c r="H201" s="144">
        <f>H202+H207+H214+H224</f>
        <v>3251678.54</v>
      </c>
      <c r="I201" s="144">
        <f>I202+I207+I214+I224</f>
        <v>0</v>
      </c>
      <c r="J201" s="138"/>
      <c r="K201" s="138"/>
      <c r="L201" s="138"/>
      <c r="M201" s="138"/>
      <c r="N201" s="138"/>
      <c r="O201" s="138"/>
      <c r="P201" s="138"/>
      <c r="Q201" s="138"/>
    </row>
    <row r="202" spans="1:17" s="139" customFormat="1" ht="15.75" hidden="1" customHeight="1" x14ac:dyDescent="0.25">
      <c r="A202" s="202"/>
      <c r="B202" s="162">
        <v>321</v>
      </c>
      <c r="C202" s="202"/>
      <c r="D202" s="202" t="s">
        <v>104</v>
      </c>
      <c r="E202" s="202"/>
      <c r="F202" s="202"/>
      <c r="G202" s="165">
        <f>SUM(G203:G206)</f>
        <v>0</v>
      </c>
      <c r="H202" s="165">
        <f>SUM(H203:H206)</f>
        <v>144375.34999999998</v>
      </c>
      <c r="I202" s="165">
        <f>SUM(I203:I206)</f>
        <v>0</v>
      </c>
      <c r="J202" s="138"/>
      <c r="K202" s="138"/>
      <c r="L202" s="138"/>
      <c r="M202" s="138"/>
      <c r="N202" s="138"/>
      <c r="O202" s="138"/>
      <c r="P202" s="138"/>
      <c r="Q202" s="138"/>
    </row>
    <row r="203" spans="1:17" s="139" customFormat="1" ht="15.75" hidden="1" customHeight="1" x14ac:dyDescent="0.25">
      <c r="A203" s="234"/>
      <c r="B203" s="235" t="s">
        <v>105</v>
      </c>
      <c r="C203" s="234"/>
      <c r="D203" s="234" t="s">
        <v>106</v>
      </c>
      <c r="E203" s="234"/>
      <c r="F203" s="234"/>
      <c r="G203" s="173"/>
      <c r="H203" s="173">
        <v>10269.299999999999</v>
      </c>
      <c r="I203" s="173"/>
      <c r="J203" s="138"/>
      <c r="K203" s="138"/>
      <c r="L203" s="138"/>
      <c r="M203" s="138"/>
      <c r="N203" s="138"/>
      <c r="O203" s="138"/>
      <c r="P203" s="138"/>
      <c r="Q203" s="138"/>
    </row>
    <row r="204" spans="1:17" s="139" customFormat="1" ht="15.75" hidden="1" customHeight="1" x14ac:dyDescent="0.25">
      <c r="A204" s="234"/>
      <c r="B204" s="235" t="s">
        <v>107</v>
      </c>
      <c r="C204" s="234"/>
      <c r="D204" s="244" t="s">
        <v>108</v>
      </c>
      <c r="E204" s="244"/>
      <c r="F204" s="244"/>
      <c r="G204" s="173"/>
      <c r="H204" s="173">
        <f>114312.43+9290.6</f>
        <v>123603.03</v>
      </c>
      <c r="I204" s="173"/>
      <c r="J204" s="138"/>
      <c r="K204" s="138"/>
      <c r="L204" s="138"/>
      <c r="M204" s="138"/>
      <c r="N204" s="138"/>
      <c r="O204" s="138"/>
      <c r="P204" s="138"/>
      <c r="Q204" s="138"/>
    </row>
    <row r="205" spans="1:17" s="139" customFormat="1" ht="15.75" hidden="1" customHeight="1" x14ac:dyDescent="0.25">
      <c r="A205" s="234"/>
      <c r="B205" s="235" t="s">
        <v>109</v>
      </c>
      <c r="C205" s="234"/>
      <c r="D205" s="244" t="s">
        <v>110</v>
      </c>
      <c r="E205" s="244"/>
      <c r="F205" s="244"/>
      <c r="G205" s="173"/>
      <c r="H205" s="173">
        <v>10503.02</v>
      </c>
      <c r="I205" s="173"/>
      <c r="J205" s="138"/>
      <c r="K205" s="138"/>
      <c r="L205" s="138"/>
      <c r="M205" s="138"/>
      <c r="N205" s="138"/>
      <c r="O205" s="138"/>
      <c r="P205" s="138"/>
      <c r="Q205" s="138"/>
    </row>
    <row r="206" spans="1:17" s="139" customFormat="1" ht="15.75" hidden="1" customHeight="1" x14ac:dyDescent="0.25">
      <c r="A206" s="234"/>
      <c r="B206" s="235" t="s">
        <v>111</v>
      </c>
      <c r="C206" s="234"/>
      <c r="D206" s="244" t="s">
        <v>112</v>
      </c>
      <c r="E206" s="244"/>
      <c r="F206" s="244"/>
      <c r="G206" s="173">
        <v>0</v>
      </c>
      <c r="H206" s="173">
        <v>0</v>
      </c>
      <c r="I206" s="173">
        <v>0</v>
      </c>
      <c r="J206" s="138"/>
      <c r="K206" s="138"/>
      <c r="L206" s="138"/>
      <c r="M206" s="138"/>
      <c r="N206" s="138"/>
      <c r="O206" s="138"/>
      <c r="P206" s="138"/>
      <c r="Q206" s="138"/>
    </row>
    <row r="207" spans="1:17" s="139" customFormat="1" ht="15.75" hidden="1" customHeight="1" x14ac:dyDescent="0.25">
      <c r="A207" s="202"/>
      <c r="B207" s="162" t="s">
        <v>113</v>
      </c>
      <c r="C207" s="202"/>
      <c r="D207" s="246" t="s">
        <v>114</v>
      </c>
      <c r="E207" s="246"/>
      <c r="F207" s="246"/>
      <c r="G207" s="165">
        <f>SUM(G208:G213)</f>
        <v>0</v>
      </c>
      <c r="H207" s="165">
        <f>SUM(H208:H213)</f>
        <v>2761826.91</v>
      </c>
      <c r="I207" s="165">
        <f>SUM(I208:I213)</f>
        <v>0</v>
      </c>
      <c r="J207" s="138"/>
      <c r="K207" s="138"/>
      <c r="L207" s="138"/>
      <c r="M207" s="138"/>
      <c r="N207" s="138"/>
      <c r="O207" s="138"/>
      <c r="P207" s="138"/>
      <c r="Q207" s="138"/>
    </row>
    <row r="208" spans="1:17" s="139" customFormat="1" ht="15.75" hidden="1" customHeight="1" x14ac:dyDescent="0.25">
      <c r="A208" s="202"/>
      <c r="B208" s="235" t="s">
        <v>115</v>
      </c>
      <c r="C208" s="202"/>
      <c r="D208" s="234" t="s">
        <v>116</v>
      </c>
      <c r="E208" s="234"/>
      <c r="F208" s="234"/>
      <c r="G208" s="173"/>
      <c r="H208" s="173">
        <f>7846.44+5308.91</f>
        <v>13155.349999999999</v>
      </c>
      <c r="I208" s="173"/>
      <c r="J208" s="138"/>
      <c r="K208" s="138"/>
      <c r="L208" s="138"/>
      <c r="M208" s="138"/>
      <c r="N208" s="138"/>
      <c r="O208" s="138"/>
      <c r="P208" s="138"/>
      <c r="Q208" s="138"/>
    </row>
    <row r="209" spans="1:17" s="121" customFormat="1" ht="15.75" hidden="1" customHeight="1" x14ac:dyDescent="0.25">
      <c r="A209" s="202"/>
      <c r="B209" s="235" t="s">
        <v>117</v>
      </c>
      <c r="C209" s="202"/>
      <c r="D209" s="234" t="s">
        <v>118</v>
      </c>
      <c r="E209" s="234"/>
      <c r="F209" s="234"/>
      <c r="G209" s="173"/>
      <c r="H209" s="173">
        <f>2489044.39+19908.42</f>
        <v>2508952.81</v>
      </c>
      <c r="I209" s="173"/>
      <c r="J209" s="120"/>
      <c r="K209" s="120"/>
      <c r="L209" s="120"/>
      <c r="M209" s="120"/>
      <c r="N209" s="120"/>
      <c r="O209" s="120"/>
      <c r="P209" s="120"/>
      <c r="Q209" s="120"/>
    </row>
    <row r="210" spans="1:17" s="121" customFormat="1" hidden="1" x14ac:dyDescent="0.25">
      <c r="A210" s="202"/>
      <c r="B210" s="235" t="s">
        <v>119</v>
      </c>
      <c r="C210" s="202"/>
      <c r="D210" s="234" t="s">
        <v>120</v>
      </c>
      <c r="E210" s="234"/>
      <c r="F210" s="234"/>
      <c r="G210" s="173"/>
      <c r="H210" s="173">
        <f>214555.97+4645.3</f>
        <v>219201.27</v>
      </c>
      <c r="I210" s="173"/>
      <c r="J210" s="120"/>
      <c r="K210" s="120"/>
      <c r="L210" s="120"/>
      <c r="M210" s="120"/>
      <c r="N210" s="120"/>
      <c r="O210" s="120"/>
      <c r="P210" s="120"/>
      <c r="Q210" s="120"/>
    </row>
    <row r="211" spans="1:17" s="139" customFormat="1" hidden="1" x14ac:dyDescent="0.25">
      <c r="A211" s="202"/>
      <c r="B211" s="235" t="s">
        <v>121</v>
      </c>
      <c r="C211" s="202"/>
      <c r="D211" s="244" t="s">
        <v>122</v>
      </c>
      <c r="E211" s="244"/>
      <c r="F211" s="244"/>
      <c r="G211" s="173"/>
      <c r="H211" s="173">
        <f>711.79+464.53</f>
        <v>1176.32</v>
      </c>
      <c r="I211" s="173"/>
      <c r="J211" s="138"/>
      <c r="K211" s="138"/>
      <c r="L211" s="138"/>
      <c r="M211" s="138"/>
      <c r="N211" s="138"/>
      <c r="O211" s="138"/>
      <c r="P211" s="138"/>
      <c r="Q211" s="138"/>
    </row>
    <row r="212" spans="1:17" s="139" customFormat="1" hidden="1" x14ac:dyDescent="0.25">
      <c r="A212" s="202"/>
      <c r="B212" s="235" t="s">
        <v>123</v>
      </c>
      <c r="C212" s="202"/>
      <c r="D212" s="244" t="s">
        <v>124</v>
      </c>
      <c r="E212" s="244"/>
      <c r="F212" s="244"/>
      <c r="G212" s="173"/>
      <c r="H212" s="173">
        <f>8059.72+1990.84</f>
        <v>10050.56</v>
      </c>
      <c r="I212" s="173"/>
      <c r="J212" s="138"/>
      <c r="K212" s="138"/>
      <c r="L212" s="138"/>
      <c r="M212" s="138"/>
      <c r="N212" s="138"/>
      <c r="O212" s="138"/>
      <c r="P212" s="138"/>
      <c r="Q212" s="138"/>
    </row>
    <row r="213" spans="1:17" s="139" customFormat="1" hidden="1" x14ac:dyDescent="0.25">
      <c r="A213" s="202"/>
      <c r="B213" s="235" t="s">
        <v>125</v>
      </c>
      <c r="C213" s="202"/>
      <c r="D213" s="244" t="s">
        <v>126</v>
      </c>
      <c r="E213" s="244"/>
      <c r="F213" s="244"/>
      <c r="G213" s="173">
        <v>0</v>
      </c>
      <c r="H213" s="173">
        <v>9290.6</v>
      </c>
      <c r="I213" s="173">
        <v>0</v>
      </c>
      <c r="J213" s="138"/>
      <c r="K213" s="138"/>
      <c r="L213" s="138"/>
      <c r="M213" s="138"/>
      <c r="N213" s="138"/>
      <c r="O213" s="138"/>
      <c r="P213" s="138"/>
      <c r="Q213" s="138"/>
    </row>
    <row r="214" spans="1:17" s="139" customFormat="1" hidden="1" x14ac:dyDescent="0.25">
      <c r="A214" s="202"/>
      <c r="B214" s="162" t="s">
        <v>127</v>
      </c>
      <c r="C214" s="202"/>
      <c r="D214" s="246" t="s">
        <v>128</v>
      </c>
      <c r="E214" s="246"/>
      <c r="F214" s="246"/>
      <c r="G214" s="165">
        <f>SUM(G215:G223)</f>
        <v>0</v>
      </c>
      <c r="H214" s="165">
        <f>SUM(H215:H223)</f>
        <v>254940.86</v>
      </c>
      <c r="I214" s="165">
        <f>SUM(I215:I223)</f>
        <v>0</v>
      </c>
      <c r="J214" s="138"/>
      <c r="K214" s="138"/>
      <c r="L214" s="138"/>
      <c r="M214" s="138"/>
      <c r="N214" s="138"/>
      <c r="O214" s="138"/>
      <c r="P214" s="138"/>
      <c r="Q214" s="138"/>
    </row>
    <row r="215" spans="1:17" s="139" customFormat="1" hidden="1" x14ac:dyDescent="0.25">
      <c r="A215" s="202"/>
      <c r="B215" s="235" t="s">
        <v>129</v>
      </c>
      <c r="C215" s="202"/>
      <c r="D215" s="244" t="s">
        <v>130</v>
      </c>
      <c r="E215" s="244"/>
      <c r="F215" s="244"/>
      <c r="G215" s="173"/>
      <c r="H215" s="173">
        <v>44747.89</v>
      </c>
      <c r="I215" s="173"/>
      <c r="J215" s="138"/>
      <c r="K215" s="138"/>
      <c r="L215" s="138"/>
      <c r="M215" s="138"/>
      <c r="N215" s="138"/>
      <c r="O215" s="138"/>
      <c r="P215" s="138"/>
      <c r="Q215" s="138"/>
    </row>
    <row r="216" spans="1:17" s="139" customFormat="1" hidden="1" x14ac:dyDescent="0.25">
      <c r="A216" s="202"/>
      <c r="B216" s="235" t="s">
        <v>131</v>
      </c>
      <c r="C216" s="202"/>
      <c r="D216" s="244" t="s">
        <v>132</v>
      </c>
      <c r="E216" s="244"/>
      <c r="F216" s="244"/>
      <c r="G216" s="173"/>
      <c r="H216" s="173">
        <f>71006.7+199.08</f>
        <v>71205.78</v>
      </c>
      <c r="I216" s="173"/>
      <c r="J216" s="138"/>
      <c r="K216" s="138"/>
      <c r="L216" s="138"/>
      <c r="M216" s="138"/>
      <c r="N216" s="138"/>
      <c r="O216" s="138"/>
      <c r="P216" s="138"/>
      <c r="Q216" s="138"/>
    </row>
    <row r="217" spans="1:17" s="139" customFormat="1" hidden="1" x14ac:dyDescent="0.25">
      <c r="A217" s="202"/>
      <c r="B217" s="235" t="s">
        <v>133</v>
      </c>
      <c r="C217" s="202"/>
      <c r="D217" s="244" t="s">
        <v>134</v>
      </c>
      <c r="E217" s="244"/>
      <c r="F217" s="244"/>
      <c r="G217" s="173"/>
      <c r="H217" s="173">
        <f>5939.21+663.61</f>
        <v>6602.82</v>
      </c>
      <c r="I217" s="173"/>
      <c r="J217" s="138"/>
      <c r="K217" s="138"/>
      <c r="L217" s="138"/>
      <c r="M217" s="138"/>
      <c r="N217" s="138"/>
      <c r="O217" s="138"/>
      <c r="P217" s="138"/>
      <c r="Q217" s="138"/>
    </row>
    <row r="218" spans="1:17" s="139" customFormat="1" hidden="1" x14ac:dyDescent="0.25">
      <c r="A218" s="202"/>
      <c r="B218" s="187" t="s">
        <v>135</v>
      </c>
      <c r="C218" s="140"/>
      <c r="D218" s="247" t="s">
        <v>136</v>
      </c>
      <c r="E218" s="247"/>
      <c r="F218" s="247"/>
      <c r="G218" s="173"/>
      <c r="H218" s="173">
        <v>7296.17</v>
      </c>
      <c r="I218" s="173"/>
      <c r="J218" s="138"/>
      <c r="K218" s="138"/>
      <c r="L218" s="138"/>
      <c r="M218" s="138"/>
      <c r="N218" s="138"/>
      <c r="O218" s="138"/>
      <c r="P218" s="138"/>
      <c r="Q218" s="138"/>
    </row>
    <row r="219" spans="1:17" s="139" customFormat="1" hidden="1" x14ac:dyDescent="0.25">
      <c r="A219" s="202"/>
      <c r="B219" s="187">
        <v>3235</v>
      </c>
      <c r="C219" s="140"/>
      <c r="D219" s="247" t="s">
        <v>137</v>
      </c>
      <c r="E219" s="247"/>
      <c r="F219" s="247"/>
      <c r="G219" s="173"/>
      <c r="H219" s="173">
        <v>1779.55</v>
      </c>
      <c r="I219" s="173"/>
      <c r="J219" s="138"/>
      <c r="K219" s="138"/>
      <c r="L219" s="138"/>
      <c r="M219" s="138"/>
      <c r="N219" s="138"/>
      <c r="O219" s="138"/>
      <c r="P219" s="138"/>
      <c r="Q219" s="138"/>
    </row>
    <row r="220" spans="1:17" s="139" customFormat="1" hidden="1" x14ac:dyDescent="0.25">
      <c r="A220" s="202"/>
      <c r="B220" s="187">
        <v>3236</v>
      </c>
      <c r="C220" s="140"/>
      <c r="D220" s="247" t="s">
        <v>138</v>
      </c>
      <c r="E220" s="247"/>
      <c r="F220" s="247"/>
      <c r="G220" s="173"/>
      <c r="H220" s="173">
        <v>2654.46</v>
      </c>
      <c r="I220" s="173"/>
      <c r="J220" s="138"/>
      <c r="K220" s="138"/>
      <c r="L220" s="138"/>
      <c r="M220" s="138"/>
      <c r="N220" s="138"/>
      <c r="O220" s="138"/>
      <c r="P220" s="138"/>
      <c r="Q220" s="138"/>
    </row>
    <row r="221" spans="1:17" s="139" customFormat="1" hidden="1" x14ac:dyDescent="0.25">
      <c r="A221" s="202"/>
      <c r="B221" s="187">
        <v>3237</v>
      </c>
      <c r="C221" s="140"/>
      <c r="D221" s="247" t="s">
        <v>139</v>
      </c>
      <c r="E221" s="247"/>
      <c r="F221" s="247"/>
      <c r="G221" s="173"/>
      <c r="H221" s="173">
        <v>80051.100000000006</v>
      </c>
      <c r="I221" s="173">
        <v>0</v>
      </c>
      <c r="J221" s="138"/>
      <c r="K221" s="138"/>
      <c r="L221" s="138"/>
      <c r="M221" s="138"/>
      <c r="N221" s="138"/>
      <c r="O221" s="138"/>
      <c r="P221" s="138"/>
      <c r="Q221" s="138"/>
    </row>
    <row r="222" spans="1:17" s="139" customFormat="1" hidden="1" x14ac:dyDescent="0.25">
      <c r="A222" s="202"/>
      <c r="B222" s="187" t="s">
        <v>140</v>
      </c>
      <c r="C222" s="140"/>
      <c r="D222" s="247" t="s">
        <v>141</v>
      </c>
      <c r="E222" s="247"/>
      <c r="F222" s="247"/>
      <c r="G222" s="173"/>
      <c r="H222" s="173">
        <v>20620.21</v>
      </c>
      <c r="I222" s="173"/>
      <c r="J222" s="138"/>
      <c r="K222" s="138"/>
      <c r="L222" s="138"/>
      <c r="M222" s="138"/>
      <c r="N222" s="138"/>
      <c r="O222" s="138"/>
      <c r="P222" s="138"/>
      <c r="Q222" s="138"/>
    </row>
    <row r="223" spans="1:17" s="139" customFormat="1" ht="13.9" hidden="1" customHeight="1" x14ac:dyDescent="0.25">
      <c r="A223" s="234"/>
      <c r="B223" s="187" t="s">
        <v>142</v>
      </c>
      <c r="C223" s="140"/>
      <c r="D223" s="247" t="s">
        <v>143</v>
      </c>
      <c r="E223" s="247"/>
      <c r="F223" s="247"/>
      <c r="G223" s="173"/>
      <c r="H223" s="173">
        <f>16664.81+3318.07</f>
        <v>19982.88</v>
      </c>
      <c r="I223" s="173"/>
      <c r="J223" s="138"/>
      <c r="K223" s="138"/>
      <c r="L223" s="138"/>
      <c r="M223" s="138"/>
      <c r="N223" s="138"/>
      <c r="O223" s="138"/>
      <c r="P223" s="138"/>
      <c r="Q223" s="138"/>
    </row>
    <row r="224" spans="1:17" s="121" customFormat="1" hidden="1" x14ac:dyDescent="0.25">
      <c r="A224" s="234"/>
      <c r="B224" s="184">
        <v>329</v>
      </c>
      <c r="C224" s="161"/>
      <c r="D224" s="248" t="s">
        <v>145</v>
      </c>
      <c r="E224" s="248"/>
      <c r="F224" s="248"/>
      <c r="G224" s="165">
        <f>SUM(G225:G231)</f>
        <v>0</v>
      </c>
      <c r="H224" s="165">
        <f>SUM(H225:H231)</f>
        <v>90535.42</v>
      </c>
      <c r="I224" s="165">
        <f>SUM(I225:I231)</f>
        <v>0</v>
      </c>
      <c r="J224" s="120"/>
      <c r="K224" s="120"/>
      <c r="L224" s="120"/>
      <c r="M224" s="120"/>
      <c r="N224" s="120"/>
      <c r="O224" s="120"/>
      <c r="P224" s="120"/>
      <c r="Q224" s="120"/>
    </row>
    <row r="225" spans="1:17" s="121" customFormat="1" ht="31.5" hidden="1" x14ac:dyDescent="0.25">
      <c r="A225" s="234"/>
      <c r="B225" s="187" t="s">
        <v>146</v>
      </c>
      <c r="C225" s="140"/>
      <c r="D225" s="171" t="s">
        <v>147</v>
      </c>
      <c r="E225" s="171"/>
      <c r="F225" s="171"/>
      <c r="G225" s="173"/>
      <c r="H225" s="173">
        <v>2758.38</v>
      </c>
      <c r="I225" s="173"/>
      <c r="J225" s="120"/>
      <c r="K225" s="120"/>
      <c r="L225" s="120"/>
      <c r="M225" s="120"/>
      <c r="N225" s="120"/>
      <c r="O225" s="120"/>
      <c r="P225" s="120"/>
      <c r="Q225" s="120"/>
    </row>
    <row r="226" spans="1:17" s="121" customFormat="1" hidden="1" x14ac:dyDescent="0.25">
      <c r="A226" s="234"/>
      <c r="B226" s="187">
        <v>3292</v>
      </c>
      <c r="C226" s="140"/>
      <c r="D226" s="247" t="s">
        <v>148</v>
      </c>
      <c r="E226" s="247"/>
      <c r="F226" s="247"/>
      <c r="G226" s="173"/>
      <c r="H226" s="173">
        <v>26299.96</v>
      </c>
      <c r="I226" s="173"/>
      <c r="J226" s="120"/>
      <c r="K226" s="120"/>
      <c r="L226" s="120"/>
      <c r="M226" s="120"/>
      <c r="N226" s="120"/>
      <c r="O226" s="120"/>
      <c r="P226" s="120"/>
      <c r="Q226" s="120"/>
    </row>
    <row r="227" spans="1:17" s="121" customFormat="1" hidden="1" x14ac:dyDescent="0.25">
      <c r="A227" s="234"/>
      <c r="B227" s="187">
        <v>3293</v>
      </c>
      <c r="C227" s="140"/>
      <c r="D227" s="247" t="s">
        <v>149</v>
      </c>
      <c r="E227" s="247"/>
      <c r="F227" s="247"/>
      <c r="G227" s="173"/>
      <c r="H227" s="173">
        <f>8593.67+1327.23</f>
        <v>9920.9</v>
      </c>
      <c r="I227" s="173"/>
      <c r="J227" s="120"/>
      <c r="K227" s="120"/>
      <c r="L227" s="120"/>
      <c r="M227" s="120"/>
      <c r="N227" s="120"/>
      <c r="O227" s="120"/>
      <c r="P227" s="120"/>
      <c r="Q227" s="120"/>
    </row>
    <row r="228" spans="1:17" s="271" customFormat="1" hidden="1" x14ac:dyDescent="0.25">
      <c r="A228" s="234"/>
      <c r="B228" s="187">
        <v>3294</v>
      </c>
      <c r="C228" s="140"/>
      <c r="D228" s="247" t="s">
        <v>150</v>
      </c>
      <c r="E228" s="247"/>
      <c r="F228" s="247"/>
      <c r="G228" s="173"/>
      <c r="H228" s="173">
        <v>3188.27</v>
      </c>
      <c r="I228" s="173"/>
      <c r="J228" s="270"/>
      <c r="K228" s="270"/>
      <c r="L228" s="270"/>
      <c r="M228" s="270"/>
      <c r="N228" s="270"/>
      <c r="O228" s="270"/>
      <c r="P228" s="270"/>
      <c r="Q228" s="270"/>
    </row>
    <row r="229" spans="1:17" s="273" customFormat="1" hidden="1" x14ac:dyDescent="0.25">
      <c r="A229" s="234"/>
      <c r="B229" s="194">
        <v>3295</v>
      </c>
      <c r="C229" s="140"/>
      <c r="D229" s="249" t="s">
        <v>151</v>
      </c>
      <c r="E229" s="249"/>
      <c r="F229" s="249"/>
      <c r="G229" s="173"/>
      <c r="H229" s="173">
        <v>8237.7099999999991</v>
      </c>
      <c r="I229" s="173"/>
      <c r="J229" s="272"/>
      <c r="K229" s="272"/>
      <c r="L229" s="272"/>
      <c r="M229" s="272"/>
      <c r="N229" s="272"/>
      <c r="O229" s="272"/>
      <c r="P229" s="272"/>
      <c r="Q229" s="272"/>
    </row>
    <row r="230" spans="1:17" s="275" customFormat="1" hidden="1" x14ac:dyDescent="0.25">
      <c r="A230" s="234"/>
      <c r="B230" s="194">
        <v>3296</v>
      </c>
      <c r="C230" s="140"/>
      <c r="D230" s="249" t="s">
        <v>152</v>
      </c>
      <c r="E230" s="249"/>
      <c r="F230" s="249"/>
      <c r="G230" s="173"/>
      <c r="H230" s="173">
        <v>39816.839999999997</v>
      </c>
      <c r="I230" s="173">
        <v>0</v>
      </c>
      <c r="J230" s="274"/>
      <c r="K230" s="274"/>
      <c r="L230" s="274"/>
      <c r="M230" s="274"/>
      <c r="N230" s="274"/>
      <c r="O230" s="274"/>
      <c r="P230" s="274"/>
      <c r="Q230" s="274"/>
    </row>
    <row r="231" spans="1:17" s="275" customFormat="1" hidden="1" x14ac:dyDescent="0.25">
      <c r="A231" s="234"/>
      <c r="B231" s="194" t="s">
        <v>153</v>
      </c>
      <c r="C231" s="140"/>
      <c r="D231" s="249" t="s">
        <v>145</v>
      </c>
      <c r="E231" s="249"/>
      <c r="F231" s="249"/>
      <c r="G231" s="173"/>
      <c r="H231" s="173">
        <v>313.36</v>
      </c>
      <c r="I231" s="173"/>
      <c r="J231" s="274"/>
      <c r="K231" s="274"/>
      <c r="L231" s="274"/>
      <c r="M231" s="274"/>
      <c r="N231" s="274"/>
      <c r="O231" s="274"/>
      <c r="P231" s="274"/>
      <c r="Q231" s="274"/>
    </row>
    <row r="232" spans="1:17" s="275" customFormat="1" hidden="1" x14ac:dyDescent="0.25">
      <c r="A232" s="234"/>
      <c r="B232" s="141">
        <v>34</v>
      </c>
      <c r="C232" s="215"/>
      <c r="D232" s="233" t="s">
        <v>154</v>
      </c>
      <c r="E232" s="233"/>
      <c r="F232" s="233"/>
      <c r="G232" s="178">
        <f>SUM(G233)</f>
        <v>0</v>
      </c>
      <c r="H232" s="178">
        <f>SUM(H233)</f>
        <v>9476.01</v>
      </c>
      <c r="I232" s="178">
        <f>SUM(I233)</f>
        <v>0</v>
      </c>
      <c r="J232" s="274"/>
      <c r="K232" s="274"/>
      <c r="L232" s="274"/>
      <c r="M232" s="274"/>
      <c r="N232" s="274"/>
      <c r="O232" s="274"/>
      <c r="P232" s="274"/>
      <c r="Q232" s="274"/>
    </row>
    <row r="233" spans="1:17" s="275" customFormat="1" hidden="1" x14ac:dyDescent="0.25">
      <c r="A233" s="234"/>
      <c r="B233" s="184">
        <v>343</v>
      </c>
      <c r="C233" s="161"/>
      <c r="D233" s="248" t="s">
        <v>155</v>
      </c>
      <c r="E233" s="248"/>
      <c r="F233" s="248"/>
      <c r="G233" s="165">
        <f>SUM(G234:G237)</f>
        <v>0</v>
      </c>
      <c r="H233" s="165">
        <f>SUM(H234:H237)</f>
        <v>9476.01</v>
      </c>
      <c r="I233" s="165">
        <f>SUM(I234:I237)</f>
        <v>0</v>
      </c>
      <c r="J233" s="274"/>
      <c r="K233" s="274"/>
      <c r="L233" s="274"/>
      <c r="M233" s="274"/>
      <c r="N233" s="274"/>
      <c r="O233" s="274"/>
      <c r="P233" s="274"/>
      <c r="Q233" s="274"/>
    </row>
    <row r="234" spans="1:17" s="226" customFormat="1" hidden="1" x14ac:dyDescent="0.25">
      <c r="A234" s="234"/>
      <c r="B234" s="187" t="s">
        <v>156</v>
      </c>
      <c r="C234" s="140"/>
      <c r="D234" s="247" t="s">
        <v>157</v>
      </c>
      <c r="E234" s="247"/>
      <c r="F234" s="247"/>
      <c r="G234" s="173"/>
      <c r="H234" s="173">
        <v>7436.99</v>
      </c>
      <c r="I234" s="173"/>
      <c r="J234" s="276"/>
      <c r="K234" s="276"/>
      <c r="L234" s="276"/>
      <c r="M234" s="276"/>
      <c r="N234" s="276"/>
      <c r="O234" s="276"/>
      <c r="P234" s="276"/>
      <c r="Q234" s="276"/>
    </row>
    <row r="235" spans="1:17" s="226" customFormat="1" hidden="1" x14ac:dyDescent="0.25">
      <c r="A235" s="234"/>
      <c r="B235" s="187">
        <v>3432</v>
      </c>
      <c r="C235" s="140"/>
      <c r="D235" s="247" t="s">
        <v>206</v>
      </c>
      <c r="E235" s="247"/>
      <c r="F235" s="247"/>
      <c r="G235" s="173"/>
      <c r="H235" s="173">
        <v>0</v>
      </c>
      <c r="I235" s="173">
        <v>0</v>
      </c>
      <c r="J235" s="276"/>
      <c r="K235" s="276"/>
      <c r="L235" s="276"/>
      <c r="M235" s="276"/>
      <c r="N235" s="276"/>
      <c r="O235" s="276"/>
      <c r="P235" s="276"/>
      <c r="Q235" s="276"/>
    </row>
    <row r="236" spans="1:17" s="271" customFormat="1" hidden="1" x14ac:dyDescent="0.25">
      <c r="A236" s="234"/>
      <c r="B236" s="194">
        <v>3433</v>
      </c>
      <c r="C236" s="140"/>
      <c r="D236" s="249" t="s">
        <v>158</v>
      </c>
      <c r="E236" s="249"/>
      <c r="F236" s="249"/>
      <c r="G236" s="173"/>
      <c r="H236" s="173">
        <v>711.79</v>
      </c>
      <c r="I236" s="173"/>
      <c r="J236" s="270"/>
      <c r="K236" s="270"/>
      <c r="L236" s="270"/>
      <c r="M236" s="270"/>
      <c r="N236" s="270"/>
      <c r="O236" s="270"/>
      <c r="P236" s="270"/>
      <c r="Q236" s="270"/>
    </row>
    <row r="237" spans="1:17" s="271" customFormat="1" hidden="1" x14ac:dyDescent="0.25">
      <c r="A237" s="234"/>
      <c r="B237" s="194">
        <v>3434</v>
      </c>
      <c r="C237" s="140"/>
      <c r="D237" s="249" t="s">
        <v>159</v>
      </c>
      <c r="E237" s="249"/>
      <c r="F237" s="249"/>
      <c r="G237" s="173"/>
      <c r="H237" s="173">
        <v>1327.23</v>
      </c>
      <c r="I237" s="173">
        <v>0</v>
      </c>
      <c r="J237" s="270"/>
      <c r="K237" s="270"/>
      <c r="L237" s="270"/>
      <c r="M237" s="270"/>
      <c r="N237" s="270"/>
      <c r="O237" s="270"/>
      <c r="P237" s="270"/>
      <c r="Q237" s="270"/>
    </row>
    <row r="238" spans="1:17" s="275" customFormat="1" hidden="1" x14ac:dyDescent="0.25">
      <c r="A238" s="234"/>
      <c r="B238" s="277">
        <v>37</v>
      </c>
      <c r="C238" s="278"/>
      <c r="D238" s="279" t="s">
        <v>163</v>
      </c>
      <c r="E238" s="279"/>
      <c r="F238" s="279"/>
      <c r="G238" s="178">
        <f t="shared" ref="G238:I239" si="61">SUM(G239)</f>
        <v>0</v>
      </c>
      <c r="H238" s="178">
        <f t="shared" si="61"/>
        <v>6901.58</v>
      </c>
      <c r="I238" s="178">
        <f t="shared" si="61"/>
        <v>0</v>
      </c>
      <c r="J238" s="274"/>
      <c r="K238" s="274"/>
      <c r="L238" s="274"/>
      <c r="M238" s="274"/>
      <c r="N238" s="274"/>
      <c r="O238" s="274"/>
      <c r="P238" s="274"/>
      <c r="Q238" s="274"/>
    </row>
    <row r="239" spans="1:17" s="275" customFormat="1" hidden="1" x14ac:dyDescent="0.25">
      <c r="A239" s="234"/>
      <c r="B239" s="280">
        <v>372</v>
      </c>
      <c r="C239" s="281"/>
      <c r="D239" s="282" t="s">
        <v>164</v>
      </c>
      <c r="E239" s="282"/>
      <c r="F239" s="282"/>
      <c r="G239" s="165">
        <f t="shared" si="61"/>
        <v>0</v>
      </c>
      <c r="H239" s="165">
        <f t="shared" si="61"/>
        <v>6901.58</v>
      </c>
      <c r="I239" s="165">
        <f t="shared" si="61"/>
        <v>0</v>
      </c>
      <c r="J239" s="274"/>
      <c r="K239" s="274"/>
      <c r="L239" s="274"/>
      <c r="M239" s="274"/>
      <c r="N239" s="274"/>
      <c r="O239" s="274"/>
      <c r="P239" s="274"/>
      <c r="Q239" s="274"/>
    </row>
    <row r="240" spans="1:17" hidden="1" x14ac:dyDescent="0.25">
      <c r="A240" s="234"/>
      <c r="B240" s="283">
        <v>3721</v>
      </c>
      <c r="C240" s="284"/>
      <c r="D240" s="285" t="s">
        <v>165</v>
      </c>
      <c r="E240" s="285"/>
      <c r="F240" s="285"/>
      <c r="G240" s="173"/>
      <c r="H240" s="173">
        <v>6901.58</v>
      </c>
      <c r="I240" s="173"/>
    </row>
    <row r="241" spans="1:12" hidden="1" x14ac:dyDescent="0.25">
      <c r="A241" s="234"/>
      <c r="B241" s="141" t="s">
        <v>166</v>
      </c>
      <c r="C241" s="215"/>
      <c r="D241" s="233" t="s">
        <v>99</v>
      </c>
      <c r="E241" s="233"/>
      <c r="F241" s="233"/>
      <c r="G241" s="178">
        <f>G244+G242</f>
        <v>0</v>
      </c>
      <c r="H241" s="178">
        <f>H242+H244</f>
        <v>1770.66</v>
      </c>
      <c r="I241" s="178">
        <f>I242+I244</f>
        <v>0</v>
      </c>
      <c r="K241" s="138"/>
      <c r="L241" s="200"/>
    </row>
    <row r="242" spans="1:12" hidden="1" x14ac:dyDescent="0.25">
      <c r="A242" s="234"/>
      <c r="B242" s="162" t="s">
        <v>167</v>
      </c>
      <c r="C242" s="202"/>
      <c r="D242" s="256" t="s">
        <v>69</v>
      </c>
      <c r="E242" s="256"/>
      <c r="F242" s="256"/>
      <c r="G242" s="165">
        <f>SUM(G243)</f>
        <v>0</v>
      </c>
      <c r="H242" s="165">
        <f>SUM(H243)</f>
        <v>1505.21</v>
      </c>
      <c r="I242" s="165">
        <f>SUM(I243)</f>
        <v>0</v>
      </c>
      <c r="K242" s="138"/>
      <c r="L242" s="200"/>
    </row>
    <row r="243" spans="1:12" hidden="1" x14ac:dyDescent="0.25">
      <c r="A243" s="234"/>
      <c r="B243" s="235" t="s">
        <v>169</v>
      </c>
      <c r="C243" s="234"/>
      <c r="D243" s="257" t="s">
        <v>168</v>
      </c>
      <c r="E243" s="257"/>
      <c r="F243" s="257"/>
      <c r="G243" s="173"/>
      <c r="H243" s="173">
        <v>1505.21</v>
      </c>
      <c r="I243" s="173"/>
      <c r="K243" s="138"/>
      <c r="L243" s="200"/>
    </row>
    <row r="244" spans="1:12" hidden="1" x14ac:dyDescent="0.25">
      <c r="A244" s="234"/>
      <c r="B244" s="179">
        <v>383</v>
      </c>
      <c r="C244" s="161"/>
      <c r="D244" s="252" t="s">
        <v>170</v>
      </c>
      <c r="E244" s="252"/>
      <c r="F244" s="252"/>
      <c r="G244" s="165">
        <f>SUM(G245:G246)</f>
        <v>0</v>
      </c>
      <c r="H244" s="165">
        <f>SUM(H245:H246)</f>
        <v>265.45</v>
      </c>
      <c r="I244" s="165">
        <f>SUM(I245:I246)</f>
        <v>0</v>
      </c>
      <c r="L244" s="138"/>
    </row>
    <row r="245" spans="1:12" hidden="1" x14ac:dyDescent="0.25">
      <c r="A245" s="234"/>
      <c r="B245" s="194">
        <v>3834</v>
      </c>
      <c r="C245" s="140"/>
      <c r="D245" s="249" t="s">
        <v>173</v>
      </c>
      <c r="E245" s="249"/>
      <c r="F245" s="249"/>
      <c r="G245" s="173"/>
      <c r="H245" s="173">
        <v>265.45</v>
      </c>
      <c r="I245" s="173">
        <v>0</v>
      </c>
    </row>
    <row r="246" spans="1:12" hidden="1" x14ac:dyDescent="0.25">
      <c r="A246" s="234"/>
      <c r="B246" s="194">
        <v>3835</v>
      </c>
      <c r="C246" s="140"/>
      <c r="D246" s="249" t="s">
        <v>174</v>
      </c>
      <c r="E246" s="249"/>
      <c r="F246" s="249"/>
      <c r="G246" s="173"/>
      <c r="H246" s="173">
        <v>0</v>
      </c>
      <c r="I246" s="173"/>
    </row>
    <row r="247" spans="1:12" hidden="1" x14ac:dyDescent="0.25">
      <c r="A247" s="258">
        <v>4</v>
      </c>
      <c r="B247" s="259"/>
      <c r="C247" s="260"/>
      <c r="D247" s="261" t="s">
        <v>175</v>
      </c>
      <c r="E247" s="261"/>
      <c r="F247" s="261"/>
      <c r="G247" s="214">
        <f>G248+G251</f>
        <v>0</v>
      </c>
      <c r="H247" s="214">
        <f>H248+H251</f>
        <v>44926.680000000008</v>
      </c>
      <c r="I247" s="214">
        <f>I248+I251</f>
        <v>0</v>
      </c>
    </row>
    <row r="248" spans="1:12" hidden="1" x14ac:dyDescent="0.25">
      <c r="A248" s="167"/>
      <c r="B248" s="141" t="s">
        <v>176</v>
      </c>
      <c r="C248" s="215"/>
      <c r="D248" s="262" t="s">
        <v>177</v>
      </c>
      <c r="E248" s="262"/>
      <c r="F248" s="262"/>
      <c r="G248" s="178">
        <f t="shared" ref="G248:I249" si="62">SUM(G249)</f>
        <v>0</v>
      </c>
      <c r="H248" s="178">
        <f t="shared" si="62"/>
        <v>0</v>
      </c>
      <c r="I248" s="178">
        <f t="shared" si="62"/>
        <v>0</v>
      </c>
    </row>
    <row r="249" spans="1:12" hidden="1" x14ac:dyDescent="0.25">
      <c r="A249" s="167"/>
      <c r="B249" s="184">
        <v>412</v>
      </c>
      <c r="C249" s="166"/>
      <c r="D249" s="265" t="s">
        <v>182</v>
      </c>
      <c r="E249" s="265"/>
      <c r="F249" s="265"/>
      <c r="G249" s="165">
        <f t="shared" si="62"/>
        <v>0</v>
      </c>
      <c r="H249" s="165">
        <f t="shared" si="62"/>
        <v>0</v>
      </c>
      <c r="I249" s="165">
        <f t="shared" si="62"/>
        <v>0</v>
      </c>
    </row>
    <row r="250" spans="1:12" hidden="1" x14ac:dyDescent="0.25">
      <c r="A250" s="190"/>
      <c r="B250" s="187">
        <v>4123</v>
      </c>
      <c r="C250" s="170"/>
      <c r="D250" s="266" t="s">
        <v>183</v>
      </c>
      <c r="E250" s="266"/>
      <c r="F250" s="266"/>
      <c r="G250" s="173">
        <v>0</v>
      </c>
      <c r="H250" s="173">
        <v>0</v>
      </c>
      <c r="I250" s="173">
        <v>0</v>
      </c>
    </row>
    <row r="251" spans="1:12" hidden="1" x14ac:dyDescent="0.25">
      <c r="A251" s="234"/>
      <c r="B251" s="141">
        <v>42</v>
      </c>
      <c r="C251" s="215"/>
      <c r="D251" s="233" t="s">
        <v>184</v>
      </c>
      <c r="E251" s="233"/>
      <c r="F251" s="233"/>
      <c r="G251" s="178">
        <f>SUM(G252,G254,G263)</f>
        <v>0</v>
      </c>
      <c r="H251" s="178">
        <f>SUM(H252,H254,H263)</f>
        <v>44926.680000000008</v>
      </c>
      <c r="I251" s="178">
        <f>SUM(I252,I254,I263,I261)</f>
        <v>0</v>
      </c>
    </row>
    <row r="252" spans="1:12" hidden="1" x14ac:dyDescent="0.25">
      <c r="A252" s="234"/>
      <c r="B252" s="162" t="s">
        <v>207</v>
      </c>
      <c r="C252" s="202"/>
      <c r="D252" s="256" t="s">
        <v>208</v>
      </c>
      <c r="E252" s="256"/>
      <c r="F252" s="256"/>
      <c r="G252" s="165">
        <f>SUM(G253)</f>
        <v>0</v>
      </c>
      <c r="H252" s="165">
        <f>SUM(H253)</f>
        <v>18581.2</v>
      </c>
      <c r="I252" s="165">
        <f>SUM(I253)</f>
        <v>0</v>
      </c>
    </row>
    <row r="253" spans="1:12" hidden="1" x14ac:dyDescent="0.25">
      <c r="A253" s="234"/>
      <c r="B253" s="235" t="s">
        <v>209</v>
      </c>
      <c r="C253" s="234"/>
      <c r="D253" s="257" t="s">
        <v>210</v>
      </c>
      <c r="E253" s="257"/>
      <c r="F253" s="257"/>
      <c r="G253" s="173"/>
      <c r="H253" s="173">
        <v>18581.2</v>
      </c>
      <c r="I253" s="173">
        <v>0</v>
      </c>
    </row>
    <row r="254" spans="1:12" hidden="1" x14ac:dyDescent="0.25">
      <c r="A254" s="234"/>
      <c r="B254" s="162">
        <v>422</v>
      </c>
      <c r="C254" s="234"/>
      <c r="D254" s="202" t="s">
        <v>185</v>
      </c>
      <c r="E254" s="202"/>
      <c r="F254" s="202"/>
      <c r="G254" s="165">
        <f>SUM(G255:G260)</f>
        <v>0</v>
      </c>
      <c r="H254" s="165">
        <f>SUM(H255:H259)</f>
        <v>26345.480000000003</v>
      </c>
      <c r="I254" s="165">
        <f>SUM(I255:I259)</f>
        <v>0</v>
      </c>
    </row>
    <row r="255" spans="1:12" hidden="1" x14ac:dyDescent="0.25">
      <c r="A255" s="234"/>
      <c r="B255" s="235" t="s">
        <v>186</v>
      </c>
      <c r="C255" s="234"/>
      <c r="D255" s="234" t="s">
        <v>187</v>
      </c>
      <c r="E255" s="234"/>
      <c r="F255" s="234"/>
      <c r="G255" s="173"/>
      <c r="H255" s="173">
        <f>1327.23</f>
        <v>1327.23</v>
      </c>
      <c r="I255" s="173"/>
    </row>
    <row r="256" spans="1:12" hidden="1" x14ac:dyDescent="0.25">
      <c r="A256" s="234"/>
      <c r="B256" s="235" t="s">
        <v>188</v>
      </c>
      <c r="C256" s="234"/>
      <c r="D256" s="234" t="s">
        <v>189</v>
      </c>
      <c r="E256" s="234"/>
      <c r="F256" s="234"/>
      <c r="G256" s="173"/>
      <c r="H256" s="173">
        <v>132.72</v>
      </c>
      <c r="I256" s="173">
        <v>0</v>
      </c>
    </row>
    <row r="257" spans="1:9" hidden="1" x14ac:dyDescent="0.25">
      <c r="A257" s="190"/>
      <c r="B257" s="187">
        <v>4223</v>
      </c>
      <c r="C257" s="170"/>
      <c r="D257" s="266" t="s">
        <v>190</v>
      </c>
      <c r="E257" s="266"/>
      <c r="F257" s="266"/>
      <c r="G257" s="173">
        <v>0</v>
      </c>
      <c r="H257" s="173">
        <f>1990.84</f>
        <v>1990.84</v>
      </c>
      <c r="I257" s="173">
        <v>0</v>
      </c>
    </row>
    <row r="258" spans="1:9" hidden="1" x14ac:dyDescent="0.25">
      <c r="A258" s="190"/>
      <c r="B258" s="187">
        <v>4224</v>
      </c>
      <c r="C258" s="170"/>
      <c r="D258" s="266" t="s">
        <v>191</v>
      </c>
      <c r="E258" s="266"/>
      <c r="F258" s="266"/>
      <c r="G258" s="173"/>
      <c r="H258" s="173">
        <f>22562.88+331.81</f>
        <v>22894.690000000002</v>
      </c>
      <c r="I258" s="173"/>
    </row>
    <row r="259" spans="1:9" hidden="1" x14ac:dyDescent="0.25">
      <c r="A259" s="190"/>
      <c r="B259" s="187">
        <v>4225</v>
      </c>
      <c r="C259" s="170"/>
      <c r="D259" s="266" t="s">
        <v>192</v>
      </c>
      <c r="E259" s="266"/>
      <c r="F259" s="266"/>
      <c r="G259" s="173">
        <v>0</v>
      </c>
      <c r="H259" s="173">
        <v>0</v>
      </c>
      <c r="I259" s="173">
        <v>0</v>
      </c>
    </row>
    <row r="260" spans="1:9" hidden="1" x14ac:dyDescent="0.25">
      <c r="A260" s="190"/>
      <c r="B260" s="187">
        <v>4227</v>
      </c>
      <c r="C260" s="170"/>
      <c r="D260" s="266" t="s">
        <v>193</v>
      </c>
      <c r="E260" s="266"/>
      <c r="F260" s="266"/>
      <c r="G260" s="173"/>
      <c r="H260" s="173">
        <v>0</v>
      </c>
      <c r="I260" s="173">
        <v>0</v>
      </c>
    </row>
    <row r="261" spans="1:9" s="138" customFormat="1" hidden="1" x14ac:dyDescent="0.25">
      <c r="A261" s="167"/>
      <c r="B261" s="184">
        <v>423</v>
      </c>
      <c r="C261" s="166"/>
      <c r="D261" s="265" t="s">
        <v>194</v>
      </c>
      <c r="E261" s="265"/>
      <c r="F261" s="265"/>
      <c r="G261" s="165"/>
      <c r="H261" s="165"/>
      <c r="I261" s="165">
        <f>I262</f>
        <v>0</v>
      </c>
    </row>
    <row r="262" spans="1:9" hidden="1" x14ac:dyDescent="0.25">
      <c r="A262" s="190"/>
      <c r="B262" s="187">
        <v>4231</v>
      </c>
      <c r="C262" s="170"/>
      <c r="D262" s="266" t="s">
        <v>81</v>
      </c>
      <c r="E262" s="266"/>
      <c r="F262" s="266"/>
      <c r="G262" s="173"/>
      <c r="H262" s="173"/>
      <c r="I262" s="173"/>
    </row>
    <row r="263" spans="1:9" hidden="1" x14ac:dyDescent="0.25">
      <c r="A263" s="190"/>
      <c r="B263" s="184">
        <v>426</v>
      </c>
      <c r="C263" s="166"/>
      <c r="D263" s="265" t="s">
        <v>195</v>
      </c>
      <c r="E263" s="265"/>
      <c r="F263" s="265"/>
      <c r="G263" s="165">
        <f>G264</f>
        <v>0</v>
      </c>
      <c r="H263" s="165">
        <f>H264</f>
        <v>0</v>
      </c>
      <c r="I263" s="165">
        <f>I264</f>
        <v>0</v>
      </c>
    </row>
    <row r="264" spans="1:9" hidden="1" x14ac:dyDescent="0.25">
      <c r="A264" s="190"/>
      <c r="B264" s="187">
        <v>4262</v>
      </c>
      <c r="C264" s="170"/>
      <c r="D264" s="266" t="s">
        <v>196</v>
      </c>
      <c r="E264" s="266"/>
      <c r="F264" s="266"/>
      <c r="G264" s="173"/>
      <c r="H264" s="173">
        <v>0</v>
      </c>
      <c r="I264" s="173">
        <v>0</v>
      </c>
    </row>
    <row r="265" spans="1:9" hidden="1" x14ac:dyDescent="0.25">
      <c r="A265" s="267"/>
      <c r="B265" s="268"/>
      <c r="C265" s="286" t="s">
        <v>66</v>
      </c>
      <c r="D265" s="287" t="s">
        <v>211</v>
      </c>
      <c r="E265" s="287"/>
      <c r="F265" s="287"/>
      <c r="G265" s="288">
        <f>G190+G247</f>
        <v>0</v>
      </c>
      <c r="H265" s="288">
        <f>H190+H247</f>
        <v>4869046.5299999993</v>
      </c>
      <c r="I265" s="288">
        <f>I190+I247</f>
        <v>0</v>
      </c>
    </row>
    <row r="266" spans="1:9" hidden="1" x14ac:dyDescent="0.25">
      <c r="A266" s="229" t="s">
        <v>87</v>
      </c>
      <c r="B266" s="229"/>
      <c r="C266" s="230"/>
      <c r="D266" s="231" t="s">
        <v>88</v>
      </c>
      <c r="E266" s="231"/>
      <c r="F266" s="231"/>
      <c r="G266" s="289">
        <f>G267+G274</f>
        <v>0</v>
      </c>
      <c r="H266" s="290">
        <f>H267+H274</f>
        <v>347388.68</v>
      </c>
      <c r="I266" s="290">
        <f>I267+I274</f>
        <v>0</v>
      </c>
    </row>
    <row r="267" spans="1:9" hidden="1" x14ac:dyDescent="0.25">
      <c r="A267" s="202"/>
      <c r="B267" s="141">
        <v>31</v>
      </c>
      <c r="C267" s="215"/>
      <c r="D267" s="233" t="s">
        <v>89</v>
      </c>
      <c r="E267" s="233"/>
      <c r="F267" s="233"/>
      <c r="G267" s="144">
        <f>G268+G272</f>
        <v>0</v>
      </c>
      <c r="H267" s="144">
        <f>H268+H272</f>
        <v>347388.68</v>
      </c>
      <c r="I267" s="144">
        <f>I268+I272</f>
        <v>0</v>
      </c>
    </row>
    <row r="268" spans="1:9" hidden="1" x14ac:dyDescent="0.25">
      <c r="A268" s="202"/>
      <c r="B268" s="162">
        <v>311</v>
      </c>
      <c r="C268" s="234"/>
      <c r="D268" s="202" t="s">
        <v>90</v>
      </c>
      <c r="E268" s="202"/>
      <c r="F268" s="202"/>
      <c r="G268" s="240">
        <f>SUM(G269:G271)</f>
        <v>0</v>
      </c>
      <c r="H268" s="240">
        <f>SUM(H269:H271)</f>
        <v>330612.52</v>
      </c>
      <c r="I268" s="240">
        <f>SUM(I269,I271)</f>
        <v>0</v>
      </c>
    </row>
    <row r="269" spans="1:9" hidden="1" x14ac:dyDescent="0.25">
      <c r="A269" s="202"/>
      <c r="B269" s="235">
        <v>3111</v>
      </c>
      <c r="C269" s="234"/>
      <c r="D269" s="234" t="s">
        <v>91</v>
      </c>
      <c r="E269" s="234"/>
      <c r="F269" s="234"/>
      <c r="G269" s="241"/>
      <c r="H269" s="291">
        <f>173999.6+21235.65</f>
        <v>195235.25</v>
      </c>
      <c r="I269" s="241"/>
    </row>
    <row r="270" spans="1:9" hidden="1" x14ac:dyDescent="0.25">
      <c r="A270" s="202"/>
      <c r="B270" s="235" t="s">
        <v>94</v>
      </c>
      <c r="C270" s="234"/>
      <c r="D270" s="234" t="s">
        <v>95</v>
      </c>
      <c r="E270" s="234"/>
      <c r="F270" s="234"/>
      <c r="G270" s="241">
        <v>0</v>
      </c>
      <c r="H270" s="291">
        <v>16988.52</v>
      </c>
      <c r="I270" s="241">
        <v>0</v>
      </c>
    </row>
    <row r="271" spans="1:9" hidden="1" x14ac:dyDescent="0.25">
      <c r="A271" s="202"/>
      <c r="B271" s="235" t="s">
        <v>96</v>
      </c>
      <c r="C271" s="234"/>
      <c r="D271" s="234" t="s">
        <v>212</v>
      </c>
      <c r="E271" s="234"/>
      <c r="F271" s="234"/>
      <c r="G271" s="241"/>
      <c r="H271" s="291">
        <v>118388.75</v>
      </c>
      <c r="I271" s="241">
        <v>0</v>
      </c>
    </row>
    <row r="272" spans="1:9" hidden="1" x14ac:dyDescent="0.25">
      <c r="A272" s="202"/>
      <c r="B272" s="162" t="s">
        <v>213</v>
      </c>
      <c r="C272" s="202"/>
      <c r="D272" s="202" t="s">
        <v>101</v>
      </c>
      <c r="E272" s="202"/>
      <c r="F272" s="202"/>
      <c r="G272" s="292">
        <f>SUM(G273)</f>
        <v>0</v>
      </c>
      <c r="H272" s="292">
        <f>SUM(H273)</f>
        <v>16776.16</v>
      </c>
      <c r="I272" s="292">
        <f>SUM(I273)</f>
        <v>0</v>
      </c>
    </row>
    <row r="273" spans="1:9" hidden="1" x14ac:dyDescent="0.25">
      <c r="A273" s="202"/>
      <c r="B273" s="235" t="s">
        <v>214</v>
      </c>
      <c r="C273" s="234"/>
      <c r="D273" s="234" t="s">
        <v>215</v>
      </c>
      <c r="E273" s="234"/>
      <c r="F273" s="234"/>
      <c r="G273" s="241"/>
      <c r="H273" s="291">
        <v>16776.16</v>
      </c>
      <c r="I273" s="241">
        <v>0</v>
      </c>
    </row>
    <row r="274" spans="1:9" hidden="1" x14ac:dyDescent="0.25">
      <c r="A274" s="202"/>
      <c r="B274" s="141">
        <v>32</v>
      </c>
      <c r="C274" s="215"/>
      <c r="D274" s="233" t="s">
        <v>103</v>
      </c>
      <c r="E274" s="233"/>
      <c r="F274" s="233"/>
      <c r="G274" s="293">
        <f>SUM(G277+G275+G282+G288)</f>
        <v>0</v>
      </c>
      <c r="H274" s="293">
        <v>0</v>
      </c>
      <c r="I274" s="293">
        <f>SUM(I275,I277,I282,I288)</f>
        <v>0</v>
      </c>
    </row>
    <row r="275" spans="1:9" hidden="1" x14ac:dyDescent="0.25">
      <c r="A275" s="202"/>
      <c r="B275" s="162" t="s">
        <v>216</v>
      </c>
      <c r="C275" s="202"/>
      <c r="D275" s="256" t="s">
        <v>104</v>
      </c>
      <c r="E275" s="256"/>
      <c r="F275" s="256"/>
      <c r="G275" s="292">
        <f>G276</f>
        <v>0</v>
      </c>
      <c r="H275" s="292">
        <f>H276</f>
        <v>0</v>
      </c>
      <c r="I275" s="292">
        <f>I276</f>
        <v>0</v>
      </c>
    </row>
    <row r="276" spans="1:9" hidden="1" x14ac:dyDescent="0.25">
      <c r="A276" s="234"/>
      <c r="B276" s="235" t="s">
        <v>107</v>
      </c>
      <c r="C276" s="234"/>
      <c r="D276" s="257" t="s">
        <v>108</v>
      </c>
      <c r="E276" s="257"/>
      <c r="F276" s="257"/>
      <c r="G276" s="291"/>
      <c r="H276" s="291">
        <v>0</v>
      </c>
      <c r="I276" s="291">
        <v>0</v>
      </c>
    </row>
    <row r="277" spans="1:9" hidden="1" x14ac:dyDescent="0.25">
      <c r="A277" s="202"/>
      <c r="B277" s="162" t="s">
        <v>113</v>
      </c>
      <c r="C277" s="202"/>
      <c r="D277" s="202" t="s">
        <v>114</v>
      </c>
      <c r="E277" s="202"/>
      <c r="F277" s="202"/>
      <c r="G277" s="240">
        <f>SUM(G278:G281)</f>
        <v>0</v>
      </c>
      <c r="H277" s="240">
        <f>SUM(H279,H278)</f>
        <v>0</v>
      </c>
      <c r="I277" s="240">
        <f>SUM(I278:I281)</f>
        <v>0</v>
      </c>
    </row>
    <row r="278" spans="1:9" hidden="1" x14ac:dyDescent="0.25">
      <c r="A278" s="234"/>
      <c r="B278" s="235" t="s">
        <v>115</v>
      </c>
      <c r="C278" s="234"/>
      <c r="D278" s="234" t="s">
        <v>116</v>
      </c>
      <c r="E278" s="234"/>
      <c r="F278" s="234"/>
      <c r="G278" s="241"/>
      <c r="H278" s="241">
        <v>0</v>
      </c>
      <c r="I278" s="241"/>
    </row>
    <row r="279" spans="1:9" hidden="1" x14ac:dyDescent="0.25">
      <c r="A279" s="202"/>
      <c r="B279" s="235" t="s">
        <v>117</v>
      </c>
      <c r="C279" s="234"/>
      <c r="D279" s="234" t="s">
        <v>118</v>
      </c>
      <c r="E279" s="234"/>
      <c r="F279" s="234"/>
      <c r="G279" s="241"/>
      <c r="H279" s="291">
        <v>0</v>
      </c>
      <c r="I279" s="241">
        <v>0</v>
      </c>
    </row>
    <row r="280" spans="1:9" hidden="1" x14ac:dyDescent="0.25">
      <c r="A280" s="202"/>
      <c r="B280" s="235" t="s">
        <v>119</v>
      </c>
      <c r="C280" s="234"/>
      <c r="D280" s="234" t="s">
        <v>120</v>
      </c>
      <c r="E280" s="234"/>
      <c r="F280" s="234"/>
      <c r="G280" s="241"/>
      <c r="H280" s="291">
        <v>0</v>
      </c>
      <c r="I280" s="241"/>
    </row>
    <row r="281" spans="1:9" hidden="1" x14ac:dyDescent="0.25">
      <c r="A281" s="202"/>
      <c r="B281" s="235" t="s">
        <v>121</v>
      </c>
      <c r="C281" s="234"/>
      <c r="D281" s="234" t="s">
        <v>122</v>
      </c>
      <c r="E281" s="234"/>
      <c r="F281" s="234"/>
      <c r="G281" s="241"/>
      <c r="H281" s="291">
        <v>0</v>
      </c>
      <c r="I281" s="241">
        <v>0</v>
      </c>
    </row>
    <row r="282" spans="1:9" hidden="1" x14ac:dyDescent="0.25">
      <c r="A282" s="202"/>
      <c r="B282" s="162" t="s">
        <v>127</v>
      </c>
      <c r="C282" s="202"/>
      <c r="D282" s="202" t="s">
        <v>128</v>
      </c>
      <c r="E282" s="202"/>
      <c r="F282" s="202"/>
      <c r="G282" s="240">
        <f>SUM(G283:G287)</f>
        <v>0</v>
      </c>
      <c r="H282" s="240">
        <f>SUM(H283:H287)</f>
        <v>0</v>
      </c>
      <c r="I282" s="240">
        <f>SUM(I283:I287)</f>
        <v>0</v>
      </c>
    </row>
    <row r="283" spans="1:9" hidden="1" x14ac:dyDescent="0.25">
      <c r="A283" s="202"/>
      <c r="B283" s="235" t="s">
        <v>133</v>
      </c>
      <c r="C283" s="234"/>
      <c r="D283" s="234" t="s">
        <v>134</v>
      </c>
      <c r="E283" s="234"/>
      <c r="F283" s="234"/>
      <c r="G283" s="241">
        <v>0</v>
      </c>
      <c r="H283" s="291">
        <v>0</v>
      </c>
      <c r="I283" s="241"/>
    </row>
    <row r="284" spans="1:9" hidden="1" x14ac:dyDescent="0.25">
      <c r="A284" s="202"/>
      <c r="B284" s="235" t="s">
        <v>135</v>
      </c>
      <c r="C284" s="234"/>
      <c r="D284" s="234" t="s">
        <v>136</v>
      </c>
      <c r="E284" s="234"/>
      <c r="F284" s="234"/>
      <c r="G284" s="241"/>
      <c r="H284" s="291">
        <v>0</v>
      </c>
      <c r="I284" s="241"/>
    </row>
    <row r="285" spans="1:9" hidden="1" x14ac:dyDescent="0.25">
      <c r="A285" s="202"/>
      <c r="B285" s="235" t="s">
        <v>217</v>
      </c>
      <c r="C285" s="234"/>
      <c r="D285" s="234" t="s">
        <v>137</v>
      </c>
      <c r="E285" s="234"/>
      <c r="F285" s="234"/>
      <c r="G285" s="241">
        <v>0</v>
      </c>
      <c r="H285" s="291">
        <v>0</v>
      </c>
      <c r="I285" s="241"/>
    </row>
    <row r="286" spans="1:9" hidden="1" x14ac:dyDescent="0.25">
      <c r="A286" s="202"/>
      <c r="B286" s="235" t="s">
        <v>218</v>
      </c>
      <c r="C286" s="234"/>
      <c r="D286" s="234" t="s">
        <v>138</v>
      </c>
      <c r="E286" s="234"/>
      <c r="F286" s="234"/>
      <c r="G286" s="241"/>
      <c r="H286" s="291">
        <v>0</v>
      </c>
      <c r="I286" s="241">
        <v>0</v>
      </c>
    </row>
    <row r="287" spans="1:9" hidden="1" x14ac:dyDescent="0.25">
      <c r="A287" s="202"/>
      <c r="B287" s="235" t="s">
        <v>219</v>
      </c>
      <c r="C287" s="234"/>
      <c r="D287" s="234" t="s">
        <v>139</v>
      </c>
      <c r="E287" s="234"/>
      <c r="F287" s="234"/>
      <c r="G287" s="241">
        <v>0</v>
      </c>
      <c r="H287" s="291">
        <v>0</v>
      </c>
      <c r="I287" s="241"/>
    </row>
    <row r="288" spans="1:9" hidden="1" x14ac:dyDescent="0.25">
      <c r="A288" s="202"/>
      <c r="B288" s="162" t="s">
        <v>220</v>
      </c>
      <c r="C288" s="202"/>
      <c r="D288" s="202" t="s">
        <v>221</v>
      </c>
      <c r="E288" s="202"/>
      <c r="F288" s="202"/>
      <c r="G288" s="240">
        <f>SUM(G289:G290)</f>
        <v>0</v>
      </c>
      <c r="H288" s="240">
        <f>SUM(H289:H290)</f>
        <v>0</v>
      </c>
      <c r="I288" s="240">
        <f>SUM(I289:I290)</f>
        <v>0</v>
      </c>
    </row>
    <row r="289" spans="1:9" hidden="1" x14ac:dyDescent="0.25">
      <c r="A289" s="202"/>
      <c r="B289" s="235" t="s">
        <v>222</v>
      </c>
      <c r="C289" s="234"/>
      <c r="D289" s="234" t="s">
        <v>149</v>
      </c>
      <c r="E289" s="234"/>
      <c r="F289" s="234"/>
      <c r="G289" s="241">
        <v>0</v>
      </c>
      <c r="H289" s="291">
        <v>0</v>
      </c>
      <c r="I289" s="241"/>
    </row>
    <row r="290" spans="1:9" hidden="1" x14ac:dyDescent="0.25">
      <c r="A290" s="202"/>
      <c r="B290" s="235" t="s">
        <v>223</v>
      </c>
      <c r="C290" s="234"/>
      <c r="D290" s="234" t="s">
        <v>151</v>
      </c>
      <c r="E290" s="234"/>
      <c r="F290" s="234"/>
      <c r="G290" s="241">
        <v>0</v>
      </c>
      <c r="H290" s="291">
        <v>0</v>
      </c>
      <c r="I290" s="241">
        <v>0</v>
      </c>
    </row>
    <row r="291" spans="1:9" s="138" customFormat="1" hidden="1" x14ac:dyDescent="0.25">
      <c r="A291" s="212">
        <v>4</v>
      </c>
      <c r="B291" s="294"/>
      <c r="C291" s="295"/>
      <c r="D291" s="261" t="s">
        <v>184</v>
      </c>
      <c r="E291" s="261"/>
      <c r="F291" s="261"/>
      <c r="G291" s="296"/>
      <c r="H291" s="297"/>
      <c r="I291" s="296">
        <f>I292</f>
        <v>0</v>
      </c>
    </row>
    <row r="292" spans="1:9" s="138" customFormat="1" hidden="1" x14ac:dyDescent="0.25">
      <c r="A292" s="202"/>
      <c r="B292" s="162" t="s">
        <v>224</v>
      </c>
      <c r="C292" s="202"/>
      <c r="D292" s="202" t="s">
        <v>185</v>
      </c>
      <c r="E292" s="202"/>
      <c r="F292" s="202"/>
      <c r="G292" s="240"/>
      <c r="H292" s="292"/>
      <c r="I292" s="240">
        <f>I293</f>
        <v>0</v>
      </c>
    </row>
    <row r="293" spans="1:9" hidden="1" x14ac:dyDescent="0.25">
      <c r="A293" s="202"/>
      <c r="B293" s="235" t="s">
        <v>186</v>
      </c>
      <c r="C293" s="234"/>
      <c r="D293" s="234" t="s">
        <v>187</v>
      </c>
      <c r="E293" s="234"/>
      <c r="F293" s="234"/>
      <c r="G293" s="241"/>
      <c r="H293" s="291"/>
      <c r="I293" s="241"/>
    </row>
    <row r="294" spans="1:9" hidden="1" x14ac:dyDescent="0.25">
      <c r="A294" s="267"/>
      <c r="B294" s="268"/>
      <c r="C294" s="286">
        <v>52</v>
      </c>
      <c r="D294" s="287" t="s">
        <v>225</v>
      </c>
      <c r="E294" s="287"/>
      <c r="F294" s="287"/>
      <c r="G294" s="288">
        <f>G266</f>
        <v>0</v>
      </c>
      <c r="H294" s="288">
        <f>H266</f>
        <v>347388.68</v>
      </c>
      <c r="I294" s="288">
        <f>I266+I291</f>
        <v>0</v>
      </c>
    </row>
    <row r="295" spans="1:9" hidden="1" x14ac:dyDescent="0.25">
      <c r="A295" s="229" t="s">
        <v>87</v>
      </c>
      <c r="B295" s="229"/>
      <c r="C295" s="230"/>
      <c r="D295" s="231" t="s">
        <v>88</v>
      </c>
      <c r="E295" s="231"/>
      <c r="F295" s="231"/>
      <c r="G295" s="232">
        <f>G296+G305</f>
        <v>0</v>
      </c>
      <c r="H295" s="232">
        <f>H296+H305</f>
        <v>139358.95000000001</v>
      </c>
      <c r="I295" s="232">
        <f>I296+I305</f>
        <v>0</v>
      </c>
    </row>
    <row r="296" spans="1:9" hidden="1" x14ac:dyDescent="0.25">
      <c r="A296" s="202"/>
      <c r="B296" s="141">
        <v>31</v>
      </c>
      <c r="C296" s="215"/>
      <c r="D296" s="233" t="s">
        <v>89</v>
      </c>
      <c r="E296" s="233"/>
      <c r="F296" s="233"/>
      <c r="G296" s="144">
        <f>G297+G300+G302</f>
        <v>0</v>
      </c>
      <c r="H296" s="144">
        <f>H297+H300+H302</f>
        <v>132059.20000000001</v>
      </c>
      <c r="I296" s="144">
        <f>I297+I300+I302</f>
        <v>0</v>
      </c>
    </row>
    <row r="297" spans="1:9" hidden="1" x14ac:dyDescent="0.25">
      <c r="A297" s="202"/>
      <c r="B297" s="162">
        <v>311</v>
      </c>
      <c r="C297" s="234"/>
      <c r="D297" s="202" t="s">
        <v>90</v>
      </c>
      <c r="E297" s="202"/>
      <c r="F297" s="202"/>
      <c r="G297" s="165">
        <f>SUM(G298:G299)</f>
        <v>0</v>
      </c>
      <c r="H297" s="165">
        <f>SUM(H298:H298)</f>
        <v>106178.26</v>
      </c>
      <c r="I297" s="165">
        <f>SUM(I298:I298)</f>
        <v>0</v>
      </c>
    </row>
    <row r="298" spans="1:9" hidden="1" x14ac:dyDescent="0.25">
      <c r="A298" s="234"/>
      <c r="B298" s="235">
        <v>3111</v>
      </c>
      <c r="C298" s="234"/>
      <c r="D298" s="234" t="s">
        <v>91</v>
      </c>
      <c r="E298" s="234"/>
      <c r="F298" s="234"/>
      <c r="G298" s="173"/>
      <c r="H298" s="173">
        <v>106178.26</v>
      </c>
      <c r="I298" s="173">
        <v>0</v>
      </c>
    </row>
    <row r="299" spans="1:9" hidden="1" x14ac:dyDescent="0.25">
      <c r="A299" s="234"/>
      <c r="B299" s="235" t="s">
        <v>96</v>
      </c>
      <c r="C299" s="234"/>
      <c r="D299" s="234" t="s">
        <v>212</v>
      </c>
      <c r="E299" s="234"/>
      <c r="F299" s="234"/>
      <c r="G299" s="173"/>
      <c r="H299" s="173">
        <v>0</v>
      </c>
      <c r="I299" s="173">
        <v>0</v>
      </c>
    </row>
    <row r="300" spans="1:9" hidden="1" x14ac:dyDescent="0.25">
      <c r="A300" s="202"/>
      <c r="B300" s="162" t="s">
        <v>98</v>
      </c>
      <c r="C300" s="202"/>
      <c r="D300" s="202" t="s">
        <v>99</v>
      </c>
      <c r="E300" s="202"/>
      <c r="F300" s="202"/>
      <c r="G300" s="165">
        <f>SUM(G301)</f>
        <v>0</v>
      </c>
      <c r="H300" s="165">
        <f>SUM(H301)</f>
        <v>4844.38</v>
      </c>
      <c r="I300" s="165">
        <f>SUM(I301)</f>
        <v>0</v>
      </c>
    </row>
    <row r="301" spans="1:9" hidden="1" x14ac:dyDescent="0.25">
      <c r="A301" s="234"/>
      <c r="B301" s="235" t="s">
        <v>100</v>
      </c>
      <c r="C301" s="234"/>
      <c r="D301" s="234" t="s">
        <v>99</v>
      </c>
      <c r="E301" s="234"/>
      <c r="F301" s="234"/>
      <c r="G301" s="173"/>
      <c r="H301" s="173">
        <v>4844.38</v>
      </c>
      <c r="I301" s="173">
        <v>0</v>
      </c>
    </row>
    <row r="302" spans="1:9" hidden="1" x14ac:dyDescent="0.25">
      <c r="A302" s="202"/>
      <c r="B302" s="166">
        <v>313</v>
      </c>
      <c r="C302" s="202"/>
      <c r="D302" s="202" t="s">
        <v>101</v>
      </c>
      <c r="E302" s="202"/>
      <c r="F302" s="202"/>
      <c r="G302" s="240">
        <f>SUM(G303:G304)</f>
        <v>0</v>
      </c>
      <c r="H302" s="240">
        <f>SUM(H303:H304)</f>
        <v>21036.560000000001</v>
      </c>
      <c r="I302" s="240">
        <f>SUM(I303:I304)</f>
        <v>0</v>
      </c>
    </row>
    <row r="303" spans="1:9" hidden="1" x14ac:dyDescent="0.25">
      <c r="A303" s="234"/>
      <c r="B303" s="170" t="s">
        <v>226</v>
      </c>
      <c r="C303" s="234"/>
      <c r="D303" s="234" t="s">
        <v>227</v>
      </c>
      <c r="E303" s="234"/>
      <c r="F303" s="234"/>
      <c r="G303" s="241"/>
      <c r="H303" s="241">
        <v>0</v>
      </c>
      <c r="I303" s="241">
        <v>0</v>
      </c>
    </row>
    <row r="304" spans="1:9" hidden="1" x14ac:dyDescent="0.25">
      <c r="A304" s="234"/>
      <c r="B304" s="170">
        <v>3132</v>
      </c>
      <c r="C304" s="234"/>
      <c r="D304" s="234" t="s">
        <v>102</v>
      </c>
      <c r="E304" s="234"/>
      <c r="F304" s="234"/>
      <c r="G304" s="241"/>
      <c r="H304" s="241">
        <v>21036.560000000001</v>
      </c>
      <c r="I304" s="241">
        <v>0</v>
      </c>
    </row>
    <row r="305" spans="1:9" hidden="1" x14ac:dyDescent="0.25">
      <c r="A305" s="202"/>
      <c r="B305" s="141">
        <v>32</v>
      </c>
      <c r="C305" s="215"/>
      <c r="D305" s="233" t="s">
        <v>103</v>
      </c>
      <c r="E305" s="233"/>
      <c r="F305" s="233"/>
      <c r="G305" s="144">
        <f>G306+G309+G311</f>
        <v>0</v>
      </c>
      <c r="H305" s="144">
        <f>H306+H309+H311</f>
        <v>7299.75</v>
      </c>
      <c r="I305" s="144">
        <f>I306+I309+I311</f>
        <v>0</v>
      </c>
    </row>
    <row r="306" spans="1:9" hidden="1" x14ac:dyDescent="0.25">
      <c r="A306" s="202"/>
      <c r="B306" s="162">
        <v>321</v>
      </c>
      <c r="C306" s="202"/>
      <c r="D306" s="202" t="s">
        <v>104</v>
      </c>
      <c r="E306" s="202"/>
      <c r="F306" s="202"/>
      <c r="G306" s="165">
        <f>SUM(G307:G308)</f>
        <v>0</v>
      </c>
      <c r="H306" s="165">
        <f>SUM(H307:H308)</f>
        <v>7299.75</v>
      </c>
      <c r="I306" s="165">
        <f>SUM(I307:I308)</f>
        <v>0</v>
      </c>
    </row>
    <row r="307" spans="1:9" hidden="1" x14ac:dyDescent="0.25">
      <c r="A307" s="234"/>
      <c r="B307" s="235" t="s">
        <v>105</v>
      </c>
      <c r="C307" s="234"/>
      <c r="D307" s="234" t="s">
        <v>106</v>
      </c>
      <c r="E307" s="234"/>
      <c r="F307" s="234"/>
      <c r="G307" s="173">
        <v>0</v>
      </c>
      <c r="H307" s="173">
        <v>663.61</v>
      </c>
      <c r="I307" s="173">
        <v>0</v>
      </c>
    </row>
    <row r="308" spans="1:9" hidden="1" x14ac:dyDescent="0.25">
      <c r="A308" s="234"/>
      <c r="B308" s="235" t="s">
        <v>107</v>
      </c>
      <c r="C308" s="234"/>
      <c r="D308" s="244" t="s">
        <v>108</v>
      </c>
      <c r="E308" s="244"/>
      <c r="F308" s="244"/>
      <c r="G308" s="173"/>
      <c r="H308" s="173">
        <v>6636.14</v>
      </c>
      <c r="I308" s="173">
        <v>0</v>
      </c>
    </row>
    <row r="309" spans="1:9" hidden="1" x14ac:dyDescent="0.25">
      <c r="A309" s="202"/>
      <c r="B309" s="162" t="s">
        <v>113</v>
      </c>
      <c r="C309" s="202"/>
      <c r="D309" s="246" t="s">
        <v>114</v>
      </c>
      <c r="E309" s="246"/>
      <c r="F309" s="246"/>
      <c r="G309" s="165">
        <f>SUM(G310:G310)</f>
        <v>0</v>
      </c>
      <c r="H309" s="165">
        <f>SUM(H310:H310)</f>
        <v>0</v>
      </c>
      <c r="I309" s="165">
        <f>SUM(I310:I310)</f>
        <v>0</v>
      </c>
    </row>
    <row r="310" spans="1:9" hidden="1" x14ac:dyDescent="0.25">
      <c r="A310" s="202"/>
      <c r="B310" s="235" t="s">
        <v>119</v>
      </c>
      <c r="C310" s="202"/>
      <c r="D310" s="234" t="s">
        <v>120</v>
      </c>
      <c r="E310" s="234"/>
      <c r="F310" s="234"/>
      <c r="G310" s="173"/>
      <c r="H310" s="173">
        <v>0</v>
      </c>
      <c r="I310" s="173">
        <v>0</v>
      </c>
    </row>
    <row r="311" spans="1:9" hidden="1" x14ac:dyDescent="0.25">
      <c r="A311" s="202"/>
      <c r="B311" s="162" t="s">
        <v>127</v>
      </c>
      <c r="C311" s="202"/>
      <c r="D311" s="246" t="s">
        <v>128</v>
      </c>
      <c r="E311" s="246"/>
      <c r="F311" s="246"/>
      <c r="G311" s="165">
        <f>SUM(G312:G312)</f>
        <v>0</v>
      </c>
      <c r="H311" s="165">
        <f>SUM(H312:H312)</f>
        <v>0</v>
      </c>
      <c r="I311" s="165">
        <f>SUM(I312:I312)</f>
        <v>0</v>
      </c>
    </row>
    <row r="312" spans="1:9" hidden="1" x14ac:dyDescent="0.25">
      <c r="A312" s="202"/>
      <c r="B312" s="235" t="s">
        <v>133</v>
      </c>
      <c r="C312" s="202"/>
      <c r="D312" s="244" t="s">
        <v>134</v>
      </c>
      <c r="E312" s="244"/>
      <c r="F312" s="244"/>
      <c r="G312" s="173">
        <v>0</v>
      </c>
      <c r="H312" s="173">
        <v>0</v>
      </c>
      <c r="I312" s="173">
        <v>0</v>
      </c>
    </row>
    <row r="313" spans="1:9" hidden="1" x14ac:dyDescent="0.25">
      <c r="A313" s="258">
        <v>4</v>
      </c>
      <c r="B313" s="259"/>
      <c r="C313" s="260"/>
      <c r="D313" s="261" t="s">
        <v>175</v>
      </c>
      <c r="E313" s="261"/>
      <c r="F313" s="261"/>
      <c r="G313" s="214">
        <f t="shared" ref="G313:I315" si="63">G314</f>
        <v>0</v>
      </c>
      <c r="H313" s="214">
        <f t="shared" si="63"/>
        <v>152631.23000000001</v>
      </c>
      <c r="I313" s="214">
        <f t="shared" si="63"/>
        <v>0</v>
      </c>
    </row>
    <row r="314" spans="1:9" hidden="1" x14ac:dyDescent="0.25">
      <c r="A314" s="202"/>
      <c r="B314" s="141" t="s">
        <v>197</v>
      </c>
      <c r="C314" s="215"/>
      <c r="D314" s="262" t="s">
        <v>198</v>
      </c>
      <c r="E314" s="262"/>
      <c r="F314" s="262"/>
      <c r="G314" s="178">
        <f t="shared" si="63"/>
        <v>0</v>
      </c>
      <c r="H314" s="178">
        <f t="shared" si="63"/>
        <v>152631.23000000001</v>
      </c>
      <c r="I314" s="178">
        <f t="shared" si="63"/>
        <v>0</v>
      </c>
    </row>
    <row r="315" spans="1:9" hidden="1" x14ac:dyDescent="0.25">
      <c r="A315" s="202"/>
      <c r="B315" s="162" t="s">
        <v>199</v>
      </c>
      <c r="C315" s="202"/>
      <c r="D315" s="202" t="s">
        <v>200</v>
      </c>
      <c r="E315" s="202"/>
      <c r="F315" s="202"/>
      <c r="G315" s="165">
        <f t="shared" si="63"/>
        <v>0</v>
      </c>
      <c r="H315" s="165">
        <f t="shared" si="63"/>
        <v>152631.23000000001</v>
      </c>
      <c r="I315" s="165">
        <f t="shared" si="63"/>
        <v>0</v>
      </c>
    </row>
    <row r="316" spans="1:9" hidden="1" x14ac:dyDescent="0.25">
      <c r="A316" s="202"/>
      <c r="B316" s="235" t="s">
        <v>201</v>
      </c>
      <c r="C316" s="234"/>
      <c r="D316" s="234" t="s">
        <v>200</v>
      </c>
      <c r="E316" s="234"/>
      <c r="F316" s="234"/>
      <c r="G316" s="173">
        <v>0</v>
      </c>
      <c r="H316" s="173">
        <v>152631.23000000001</v>
      </c>
      <c r="I316" s="173">
        <v>0</v>
      </c>
    </row>
    <row r="317" spans="1:9" hidden="1" x14ac:dyDescent="0.25">
      <c r="A317" s="267"/>
      <c r="B317" s="268"/>
      <c r="C317" s="286">
        <v>52</v>
      </c>
      <c r="D317" s="287" t="s">
        <v>228</v>
      </c>
      <c r="E317" s="287"/>
      <c r="F317" s="287"/>
      <c r="G317" s="288">
        <f>G295+G313</f>
        <v>0</v>
      </c>
      <c r="H317" s="288">
        <f>H295+H313</f>
        <v>291990.18000000005</v>
      </c>
      <c r="I317" s="288">
        <f>I295</f>
        <v>0</v>
      </c>
    </row>
    <row r="318" spans="1:9" hidden="1" x14ac:dyDescent="0.25">
      <c r="A318" s="229" t="s">
        <v>87</v>
      </c>
      <c r="B318" s="229"/>
      <c r="C318" s="230"/>
      <c r="D318" s="231" t="s">
        <v>88</v>
      </c>
      <c r="E318" s="231"/>
      <c r="F318" s="231"/>
      <c r="G318" s="298">
        <f>G319</f>
        <v>0</v>
      </c>
      <c r="H318" s="298">
        <f>H319</f>
        <v>27208.170000000002</v>
      </c>
      <c r="I318" s="298">
        <f>I319</f>
        <v>0</v>
      </c>
    </row>
    <row r="319" spans="1:9" hidden="1" x14ac:dyDescent="0.25">
      <c r="A319" s="202"/>
      <c r="B319" s="141">
        <v>32</v>
      </c>
      <c r="C319" s="215"/>
      <c r="D319" s="233" t="s">
        <v>103</v>
      </c>
      <c r="E319" s="233"/>
      <c r="F319" s="233"/>
      <c r="G319" s="178">
        <f>G320</f>
        <v>0</v>
      </c>
      <c r="H319" s="178">
        <f>H320+H323</f>
        <v>27208.170000000002</v>
      </c>
      <c r="I319" s="178">
        <f>I320+I323</f>
        <v>0</v>
      </c>
    </row>
    <row r="320" spans="1:9" hidden="1" x14ac:dyDescent="0.25">
      <c r="A320" s="202"/>
      <c r="B320" s="162">
        <v>321</v>
      </c>
      <c r="C320" s="202"/>
      <c r="D320" s="202" t="s">
        <v>104</v>
      </c>
      <c r="E320" s="202"/>
      <c r="F320" s="202"/>
      <c r="G320" s="165">
        <f>G322</f>
        <v>0</v>
      </c>
      <c r="H320" s="165">
        <f>H322+H321</f>
        <v>663.61</v>
      </c>
      <c r="I320" s="165">
        <f>I322+I321</f>
        <v>0</v>
      </c>
    </row>
    <row r="321" spans="1:9" hidden="1" x14ac:dyDescent="0.25">
      <c r="A321" s="234"/>
      <c r="B321" s="235" t="s">
        <v>105</v>
      </c>
      <c r="C321" s="234"/>
      <c r="D321" s="234" t="s">
        <v>106</v>
      </c>
      <c r="E321" s="234"/>
      <c r="F321" s="234"/>
      <c r="G321" s="173">
        <v>0</v>
      </c>
      <c r="H321" s="173">
        <v>663.61</v>
      </c>
      <c r="I321" s="173">
        <v>0</v>
      </c>
    </row>
    <row r="322" spans="1:9" hidden="1" x14ac:dyDescent="0.25">
      <c r="A322" s="234"/>
      <c r="B322" s="235" t="s">
        <v>109</v>
      </c>
      <c r="C322" s="234"/>
      <c r="D322" s="234" t="s">
        <v>110</v>
      </c>
      <c r="E322" s="234"/>
      <c r="F322" s="234"/>
      <c r="G322" s="173"/>
      <c r="H322" s="173">
        <v>0</v>
      </c>
      <c r="I322" s="173">
        <v>0</v>
      </c>
    </row>
    <row r="323" spans="1:9" s="138" customFormat="1" hidden="1" x14ac:dyDescent="0.25">
      <c r="A323" s="202"/>
      <c r="B323" s="162" t="s">
        <v>113</v>
      </c>
      <c r="C323" s="202"/>
      <c r="D323" s="202" t="s">
        <v>114</v>
      </c>
      <c r="E323" s="202"/>
      <c r="F323" s="202"/>
      <c r="G323" s="165">
        <f>G324</f>
        <v>0</v>
      </c>
      <c r="H323" s="165">
        <f>H324</f>
        <v>26544.560000000001</v>
      </c>
      <c r="I323" s="165">
        <f>I324</f>
        <v>0</v>
      </c>
    </row>
    <row r="324" spans="1:9" hidden="1" x14ac:dyDescent="0.25">
      <c r="A324" s="234"/>
      <c r="B324" s="235" t="s">
        <v>117</v>
      </c>
      <c r="C324" s="234"/>
      <c r="D324" s="234" t="s">
        <v>118</v>
      </c>
      <c r="E324" s="234"/>
      <c r="F324" s="234"/>
      <c r="G324" s="173">
        <v>0</v>
      </c>
      <c r="H324" s="173">
        <v>26544.560000000001</v>
      </c>
      <c r="I324" s="173">
        <v>0</v>
      </c>
    </row>
    <row r="325" spans="1:9" hidden="1" x14ac:dyDescent="0.25">
      <c r="A325" s="299">
        <v>4</v>
      </c>
      <c r="B325" s="300"/>
      <c r="C325" s="301"/>
      <c r="D325" s="261" t="s">
        <v>175</v>
      </c>
      <c r="E325" s="261"/>
      <c r="F325" s="261"/>
      <c r="G325" s="214">
        <f t="shared" ref="G325:I326" si="64">G326</f>
        <v>0</v>
      </c>
      <c r="H325" s="214">
        <f t="shared" si="64"/>
        <v>92905.96</v>
      </c>
      <c r="I325" s="214">
        <f t="shared" si="64"/>
        <v>0</v>
      </c>
    </row>
    <row r="326" spans="1:9" hidden="1" x14ac:dyDescent="0.25">
      <c r="A326" s="302"/>
      <c r="B326" s="141">
        <v>42</v>
      </c>
      <c r="C326" s="215"/>
      <c r="D326" s="233" t="s">
        <v>184</v>
      </c>
      <c r="E326" s="233"/>
      <c r="F326" s="233"/>
      <c r="G326" s="178">
        <f t="shared" si="64"/>
        <v>0</v>
      </c>
      <c r="H326" s="178">
        <f t="shared" si="64"/>
        <v>92905.96</v>
      </c>
      <c r="I326" s="178">
        <f t="shared" si="64"/>
        <v>0</v>
      </c>
    </row>
    <row r="327" spans="1:9" hidden="1" x14ac:dyDescent="0.25">
      <c r="A327" s="303"/>
      <c r="B327" s="162">
        <v>422</v>
      </c>
      <c r="C327" s="202"/>
      <c r="D327" s="202" t="s">
        <v>185</v>
      </c>
      <c r="E327" s="202"/>
      <c r="F327" s="202"/>
      <c r="G327" s="169">
        <f>SUM(G328:G330)</f>
        <v>0</v>
      </c>
      <c r="H327" s="169">
        <f>SUM(H328:H331)</f>
        <v>92905.96</v>
      </c>
      <c r="I327" s="169">
        <f>SUM(I328:I331)</f>
        <v>0</v>
      </c>
    </row>
    <row r="328" spans="1:9" hidden="1" x14ac:dyDescent="0.25">
      <c r="A328" s="304"/>
      <c r="B328" s="235" t="s">
        <v>186</v>
      </c>
      <c r="C328" s="234"/>
      <c r="D328" s="234" t="s">
        <v>187</v>
      </c>
      <c r="E328" s="234"/>
      <c r="F328" s="234"/>
      <c r="G328" s="172"/>
      <c r="H328" s="172">
        <v>0</v>
      </c>
      <c r="I328" s="172">
        <v>0</v>
      </c>
    </row>
    <row r="329" spans="1:9" hidden="1" x14ac:dyDescent="0.25">
      <c r="A329" s="304"/>
      <c r="B329" s="235" t="s">
        <v>229</v>
      </c>
      <c r="C329" s="234"/>
      <c r="D329" s="234" t="s">
        <v>190</v>
      </c>
      <c r="E329" s="234"/>
      <c r="F329" s="234"/>
      <c r="G329" s="172"/>
      <c r="H329" s="172">
        <v>0</v>
      </c>
      <c r="I329" s="172">
        <v>0</v>
      </c>
    </row>
    <row r="330" spans="1:9" hidden="1" x14ac:dyDescent="0.25">
      <c r="A330" s="303"/>
      <c r="B330" s="235" t="s">
        <v>230</v>
      </c>
      <c r="C330" s="234"/>
      <c r="D330" s="234" t="s">
        <v>191</v>
      </c>
      <c r="E330" s="234"/>
      <c r="F330" s="234"/>
      <c r="G330" s="172"/>
      <c r="H330" s="172">
        <v>92905.96</v>
      </c>
      <c r="I330" s="172">
        <v>0</v>
      </c>
    </row>
    <row r="331" spans="1:9" hidden="1" x14ac:dyDescent="0.25">
      <c r="A331" s="303"/>
      <c r="B331" s="235" t="s">
        <v>231</v>
      </c>
      <c r="C331" s="234"/>
      <c r="D331" s="234" t="s">
        <v>192</v>
      </c>
      <c r="E331" s="234"/>
      <c r="F331" s="234"/>
      <c r="G331" s="172"/>
      <c r="H331" s="172">
        <v>0</v>
      </c>
      <c r="I331" s="172">
        <v>0</v>
      </c>
    </row>
    <row r="332" spans="1:9" hidden="1" x14ac:dyDescent="0.25">
      <c r="A332" s="305"/>
      <c r="B332" s="306"/>
      <c r="C332" s="286" t="s">
        <v>72</v>
      </c>
      <c r="D332" s="287" t="s">
        <v>73</v>
      </c>
      <c r="E332" s="287"/>
      <c r="F332" s="287"/>
      <c r="G332" s="158">
        <f>G325+G318</f>
        <v>0</v>
      </c>
      <c r="H332" s="158">
        <f>H325+H318</f>
        <v>120114.13</v>
      </c>
      <c r="I332" s="158">
        <f>I325+I318</f>
        <v>0</v>
      </c>
    </row>
    <row r="333" spans="1:9" hidden="1" x14ac:dyDescent="0.25">
      <c r="A333" s="229" t="s">
        <v>87</v>
      </c>
      <c r="B333" s="229"/>
      <c r="C333" s="230"/>
      <c r="D333" s="231" t="s">
        <v>88</v>
      </c>
      <c r="E333" s="231"/>
      <c r="F333" s="231"/>
      <c r="G333" s="38">
        <f>SUM(G337,G334,G339)</f>
        <v>0</v>
      </c>
      <c r="H333" s="38">
        <f>SUM(H337,H334)</f>
        <v>9954.2100000000009</v>
      </c>
      <c r="I333" s="38">
        <f>SUM(I337,I334)</f>
        <v>0</v>
      </c>
    </row>
    <row r="334" spans="1:9" s="138" customFormat="1" hidden="1" x14ac:dyDescent="0.25">
      <c r="A334" s="307"/>
      <c r="B334" s="308" t="s">
        <v>113</v>
      </c>
      <c r="C334" s="309"/>
      <c r="D334" s="310" t="s">
        <v>114</v>
      </c>
      <c r="E334" s="310"/>
      <c r="F334" s="310"/>
      <c r="G334" s="47">
        <f>G335</f>
        <v>0</v>
      </c>
      <c r="H334" s="47">
        <f>H335</f>
        <v>6636.14</v>
      </c>
      <c r="I334" s="47">
        <f>SUM(I335:I336)</f>
        <v>0</v>
      </c>
    </row>
    <row r="335" spans="1:9" hidden="1" x14ac:dyDescent="0.25">
      <c r="A335" s="311"/>
      <c r="B335" s="312" t="s">
        <v>117</v>
      </c>
      <c r="C335" s="313"/>
      <c r="D335" s="314" t="s">
        <v>118</v>
      </c>
      <c r="E335" s="314"/>
      <c r="F335" s="314"/>
      <c r="G335" s="82">
        <v>0</v>
      </c>
      <c r="H335" s="82">
        <v>6636.14</v>
      </c>
      <c r="I335" s="82">
        <v>0</v>
      </c>
    </row>
    <row r="336" spans="1:9" hidden="1" x14ac:dyDescent="0.25">
      <c r="A336" s="311"/>
      <c r="B336" s="312" t="s">
        <v>121</v>
      </c>
      <c r="C336" s="234"/>
      <c r="D336" s="315" t="s">
        <v>122</v>
      </c>
      <c r="E336" s="315"/>
      <c r="F336" s="315"/>
      <c r="G336" s="82"/>
      <c r="H336" s="82"/>
      <c r="I336" s="82">
        <v>0</v>
      </c>
    </row>
    <row r="337" spans="1:9" hidden="1" x14ac:dyDescent="0.25">
      <c r="A337" s="305"/>
      <c r="B337" s="316" t="s">
        <v>127</v>
      </c>
      <c r="C337" s="317"/>
      <c r="D337" s="318" t="s">
        <v>128</v>
      </c>
      <c r="E337" s="318"/>
      <c r="F337" s="318"/>
      <c r="G337" s="47">
        <f>SUM(G338)</f>
        <v>0</v>
      </c>
      <c r="H337" s="47">
        <f>SUM(H338)</f>
        <v>3318.07</v>
      </c>
      <c r="I337" s="47">
        <f>SUM(I338)</f>
        <v>0</v>
      </c>
    </row>
    <row r="338" spans="1:9" hidden="1" x14ac:dyDescent="0.25">
      <c r="A338" s="305"/>
      <c r="B338" s="319" t="s">
        <v>131</v>
      </c>
      <c r="C338" s="320"/>
      <c r="D338" s="321" t="s">
        <v>132</v>
      </c>
      <c r="E338" s="321"/>
      <c r="F338" s="321"/>
      <c r="G338" s="82"/>
      <c r="H338" s="82">
        <v>3318.07</v>
      </c>
      <c r="I338" s="82">
        <v>0</v>
      </c>
    </row>
    <row r="339" spans="1:9" s="138" customFormat="1" hidden="1" x14ac:dyDescent="0.25">
      <c r="A339" s="305"/>
      <c r="B339" s="316" t="s">
        <v>220</v>
      </c>
      <c r="C339" s="320"/>
      <c r="D339" s="318" t="s">
        <v>221</v>
      </c>
      <c r="E339" s="318"/>
      <c r="F339" s="318"/>
      <c r="G339" s="47">
        <f>G340</f>
        <v>0</v>
      </c>
      <c r="H339" s="47">
        <f>H340</f>
        <v>0</v>
      </c>
      <c r="I339" s="47">
        <f>I340</f>
        <v>0</v>
      </c>
    </row>
    <row r="340" spans="1:9" hidden="1" x14ac:dyDescent="0.25">
      <c r="A340" s="305"/>
      <c r="B340" s="319" t="s">
        <v>232</v>
      </c>
      <c r="C340" s="320"/>
      <c r="D340" s="321" t="s">
        <v>148</v>
      </c>
      <c r="E340" s="321"/>
      <c r="F340" s="321"/>
      <c r="G340" s="82"/>
      <c r="H340" s="82">
        <v>0</v>
      </c>
      <c r="I340" s="82">
        <v>0</v>
      </c>
    </row>
    <row r="341" spans="1:9" hidden="1" x14ac:dyDescent="0.25">
      <c r="A341" s="299">
        <v>4</v>
      </c>
      <c r="B341" s="322"/>
      <c r="C341" s="322"/>
      <c r="D341" s="261" t="s">
        <v>175</v>
      </c>
      <c r="E341" s="261"/>
      <c r="F341" s="261"/>
      <c r="G341" s="323">
        <f>G342</f>
        <v>0</v>
      </c>
      <c r="H341" s="323">
        <f>H342</f>
        <v>796.34</v>
      </c>
      <c r="I341" s="323">
        <f>I342</f>
        <v>0</v>
      </c>
    </row>
    <row r="342" spans="1:9" hidden="1" x14ac:dyDescent="0.25">
      <c r="A342" s="202"/>
      <c r="B342" s="141">
        <v>42</v>
      </c>
      <c r="C342" s="215"/>
      <c r="D342" s="233" t="s">
        <v>184</v>
      </c>
      <c r="E342" s="233"/>
      <c r="F342" s="233"/>
      <c r="G342" s="144">
        <f t="shared" ref="G342:I345" si="65">SUM(G343)</f>
        <v>0</v>
      </c>
      <c r="H342" s="144">
        <f t="shared" si="65"/>
        <v>796.34</v>
      </c>
      <c r="I342" s="144">
        <f>SUM(I343,I345)</f>
        <v>0</v>
      </c>
    </row>
    <row r="343" spans="1:9" hidden="1" x14ac:dyDescent="0.25">
      <c r="A343" s="324"/>
      <c r="B343" s="162">
        <v>422</v>
      </c>
      <c r="C343" s="202"/>
      <c r="D343" s="202" t="s">
        <v>185</v>
      </c>
      <c r="E343" s="202"/>
      <c r="F343" s="202"/>
      <c r="G343" s="169">
        <f t="shared" si="65"/>
        <v>0</v>
      </c>
      <c r="H343" s="169">
        <f t="shared" si="65"/>
        <v>796.34</v>
      </c>
      <c r="I343" s="169">
        <f t="shared" si="65"/>
        <v>0</v>
      </c>
    </row>
    <row r="344" spans="1:9" hidden="1" x14ac:dyDescent="0.25">
      <c r="A344" s="325"/>
      <c r="B344" s="235" t="s">
        <v>230</v>
      </c>
      <c r="C344" s="234"/>
      <c r="D344" s="234" t="s">
        <v>191</v>
      </c>
      <c r="E344" s="234"/>
      <c r="F344" s="234"/>
      <c r="G344" s="172"/>
      <c r="H344" s="172">
        <v>796.34</v>
      </c>
      <c r="I344" s="172">
        <v>0</v>
      </c>
    </row>
    <row r="345" spans="1:9" hidden="1" x14ac:dyDescent="0.25">
      <c r="A345" s="326"/>
      <c r="B345" s="327" t="s">
        <v>233</v>
      </c>
      <c r="C345" s="217"/>
      <c r="D345" s="217" t="s">
        <v>195</v>
      </c>
      <c r="E345" s="217"/>
      <c r="F345" s="217"/>
      <c r="G345" s="328"/>
      <c r="H345" s="169">
        <f t="shared" si="65"/>
        <v>0</v>
      </c>
      <c r="I345" s="169">
        <f t="shared" si="65"/>
        <v>0</v>
      </c>
    </row>
    <row r="346" spans="1:9" hidden="1" x14ac:dyDescent="0.25">
      <c r="A346" s="326"/>
      <c r="B346" s="329" t="s">
        <v>234</v>
      </c>
      <c r="C346" s="330"/>
      <c r="D346" s="330" t="s">
        <v>196</v>
      </c>
      <c r="E346" s="330"/>
      <c r="F346" s="330"/>
      <c r="G346" s="331"/>
      <c r="H346" s="331"/>
      <c r="I346" s="331">
        <v>0</v>
      </c>
    </row>
    <row r="347" spans="1:9" ht="31.5" hidden="1" x14ac:dyDescent="0.25">
      <c r="A347" s="332"/>
      <c r="B347" s="333"/>
      <c r="C347" s="334" t="s">
        <v>235</v>
      </c>
      <c r="D347" s="335" t="s">
        <v>236</v>
      </c>
      <c r="E347" s="335"/>
      <c r="F347" s="335"/>
      <c r="G347" s="220">
        <f>SUM(G342,G333)</f>
        <v>0</v>
      </c>
      <c r="H347" s="336">
        <f>H333+H341</f>
        <v>10750.550000000001</v>
      </c>
      <c r="I347" s="336">
        <f>SUM(I342,I333)</f>
        <v>0</v>
      </c>
    </row>
    <row r="348" spans="1:9" ht="16.5" hidden="1" thickBot="1" x14ac:dyDescent="0.3">
      <c r="A348" s="593" t="s">
        <v>237</v>
      </c>
      <c r="B348" s="594"/>
      <c r="C348" s="594"/>
      <c r="D348" s="595"/>
      <c r="E348" s="118"/>
      <c r="F348" s="118"/>
      <c r="G348" s="126">
        <f>G102+G166+G190+G247+G266+G295+G313+G318+G325+G333+G341</f>
        <v>0</v>
      </c>
      <c r="H348" s="126">
        <f>H102+H166+H190+H247+H266+H295+H313+H318+H325+H333+H341</f>
        <v>65101801.729999997</v>
      </c>
      <c r="I348" s="126">
        <f>I102+I166+I190+I247+I266+I295+I318+I325+I333+I341+I291+I313</f>
        <v>0</v>
      </c>
    </row>
    <row r="349" spans="1:9" hidden="1" x14ac:dyDescent="0.25">
      <c r="D349" s="245"/>
      <c r="E349" s="245"/>
      <c r="F349" s="245"/>
      <c r="H349" s="338" t="s">
        <v>238</v>
      </c>
      <c r="I349" s="339"/>
    </row>
    <row r="350" spans="1:9" hidden="1" x14ac:dyDescent="0.25">
      <c r="H350" s="340"/>
      <c r="I350" s="341">
        <f>I348+I349</f>
        <v>0</v>
      </c>
    </row>
    <row r="351" spans="1:9" hidden="1" x14ac:dyDescent="0.25"/>
    <row r="352" spans="1:9" hidden="1" x14ac:dyDescent="0.25">
      <c r="D352" s="174"/>
      <c r="E352" s="174"/>
      <c r="F352" s="174"/>
      <c r="G352" s="342"/>
      <c r="I352" s="343">
        <f>I95-I350</f>
        <v>0</v>
      </c>
    </row>
    <row r="353" spans="4:8" hidden="1" x14ac:dyDescent="0.25">
      <c r="D353" s="174"/>
      <c r="E353" s="174"/>
      <c r="F353" s="174"/>
      <c r="G353" s="342"/>
      <c r="H353" s="200"/>
    </row>
    <row r="354" spans="4:8" x14ac:dyDescent="0.25">
      <c r="D354" s="245"/>
      <c r="E354" s="245"/>
      <c r="F354" s="245"/>
      <c r="G354" s="342"/>
    </row>
  </sheetData>
  <mergeCells count="9">
    <mergeCell ref="A99:I99"/>
    <mergeCell ref="A101:D101"/>
    <mergeCell ref="A348:D348"/>
    <mergeCell ref="A1:I1"/>
    <mergeCell ref="A2:I2"/>
    <mergeCell ref="A3:I3"/>
    <mergeCell ref="A5:I5"/>
    <mergeCell ref="A7:D7"/>
    <mergeCell ref="A93:D93"/>
  </mergeCells>
  <pageMargins left="0.7" right="0.7" top="0.75" bottom="0.75" header="0.3" footer="0.3"/>
  <pageSetup paperSize="9" scale="5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FCE8-E36E-4114-A948-69DD15FA7296}">
  <sheetPr>
    <pageSetUpPr fitToPage="1"/>
  </sheetPr>
  <dimension ref="A1:P499"/>
  <sheetViews>
    <sheetView zoomScaleNormal="100" workbookViewId="0">
      <selection activeCell="D24" sqref="D24"/>
    </sheetView>
  </sheetViews>
  <sheetFormatPr defaultRowHeight="15.75" x14ac:dyDescent="0.25"/>
  <cols>
    <col min="1" max="1" width="7.140625" style="120" bestFit="1" customWidth="1"/>
    <col min="2" max="2" width="8.42578125" style="120" customWidth="1"/>
    <col min="3" max="3" width="5.42578125" style="120" bestFit="1" customWidth="1"/>
    <col min="4" max="4" width="60.140625" style="120" bestFit="1" customWidth="1"/>
    <col min="5" max="6" width="20.28515625" style="120" customWidth="1"/>
    <col min="7" max="7" width="16.85546875" style="337" bestFit="1" customWidth="1"/>
    <col min="8" max="8" width="18.85546875" style="120" customWidth="1"/>
    <col min="9" max="9" width="18.42578125" style="120" customWidth="1"/>
    <col min="10" max="13" width="15.140625" style="120" customWidth="1"/>
    <col min="14" max="14" width="16.7109375" style="120" hidden="1" customWidth="1"/>
    <col min="15" max="15" width="16.42578125" style="120" hidden="1" customWidth="1"/>
    <col min="16" max="16" width="12.5703125" style="120" hidden="1" customWidth="1"/>
    <col min="17" max="18" width="10.7109375" style="120" bestFit="1" customWidth="1"/>
    <col min="19" max="19" width="10.28515625" style="120" bestFit="1" customWidth="1"/>
    <col min="20" max="20" width="11.85546875" style="120" bestFit="1" customWidth="1"/>
    <col min="21" max="21" width="15.42578125" style="120" customWidth="1"/>
    <col min="22" max="254" width="9.140625" style="120"/>
    <col min="255" max="255" width="7" style="120" bestFit="1" customWidth="1"/>
    <col min="256" max="256" width="8.42578125" style="120" customWidth="1"/>
    <col min="257" max="257" width="5.28515625" style="120" bestFit="1" customWidth="1"/>
    <col min="258" max="258" width="58.140625" style="120" customWidth="1"/>
    <col min="259" max="259" width="0" style="120" hidden="1" customWidth="1"/>
    <col min="260" max="260" width="18.42578125" style="120" bestFit="1" customWidth="1"/>
    <col min="261" max="261" width="0" style="120" hidden="1" customWidth="1"/>
    <col min="262" max="262" width="18.42578125" style="120" customWidth="1"/>
    <col min="263" max="263" width="0" style="120" hidden="1" customWidth="1"/>
    <col min="264" max="264" width="9.140625" style="120"/>
    <col min="265" max="265" width="0" style="120" hidden="1" customWidth="1"/>
    <col min="266" max="269" width="15.140625" style="120" customWidth="1"/>
    <col min="270" max="272" width="0" style="120" hidden="1" customWidth="1"/>
    <col min="273" max="274" width="10.7109375" style="120" bestFit="1" customWidth="1"/>
    <col min="275" max="275" width="10.28515625" style="120" bestFit="1" customWidth="1"/>
    <col min="276" max="276" width="11.85546875" style="120" bestFit="1" customWidth="1"/>
    <col min="277" max="277" width="15.42578125" style="120" customWidth="1"/>
    <col min="278" max="510" width="9.140625" style="120"/>
    <col min="511" max="511" width="7" style="120" bestFit="1" customWidth="1"/>
    <col min="512" max="512" width="8.42578125" style="120" customWidth="1"/>
    <col min="513" max="513" width="5.28515625" style="120" bestFit="1" customWidth="1"/>
    <col min="514" max="514" width="58.140625" style="120" customWidth="1"/>
    <col min="515" max="515" width="0" style="120" hidden="1" customWidth="1"/>
    <col min="516" max="516" width="18.42578125" style="120" bestFit="1" customWidth="1"/>
    <col min="517" max="517" width="0" style="120" hidden="1" customWidth="1"/>
    <col min="518" max="518" width="18.42578125" style="120" customWidth="1"/>
    <col min="519" max="519" width="0" style="120" hidden="1" customWidth="1"/>
    <col min="520" max="520" width="9.140625" style="120"/>
    <col min="521" max="521" width="0" style="120" hidden="1" customWidth="1"/>
    <col min="522" max="525" width="15.140625" style="120" customWidth="1"/>
    <col min="526" max="528" width="0" style="120" hidden="1" customWidth="1"/>
    <col min="529" max="530" width="10.7109375" style="120" bestFit="1" customWidth="1"/>
    <col min="531" max="531" width="10.28515625" style="120" bestFit="1" customWidth="1"/>
    <col min="532" max="532" width="11.85546875" style="120" bestFit="1" customWidth="1"/>
    <col min="533" max="533" width="15.42578125" style="120" customWidth="1"/>
    <col min="534" max="766" width="9.140625" style="120"/>
    <col min="767" max="767" width="7" style="120" bestFit="1" customWidth="1"/>
    <col min="768" max="768" width="8.42578125" style="120" customWidth="1"/>
    <col min="769" max="769" width="5.28515625" style="120" bestFit="1" customWidth="1"/>
    <col min="770" max="770" width="58.140625" style="120" customWidth="1"/>
    <col min="771" max="771" width="0" style="120" hidden="1" customWidth="1"/>
    <col min="772" max="772" width="18.42578125" style="120" bestFit="1" customWidth="1"/>
    <col min="773" max="773" width="0" style="120" hidden="1" customWidth="1"/>
    <col min="774" max="774" width="18.42578125" style="120" customWidth="1"/>
    <col min="775" max="775" width="0" style="120" hidden="1" customWidth="1"/>
    <col min="776" max="776" width="9.140625" style="120"/>
    <col min="777" max="777" width="0" style="120" hidden="1" customWidth="1"/>
    <col min="778" max="781" width="15.140625" style="120" customWidth="1"/>
    <col min="782" max="784" width="0" style="120" hidden="1" customWidth="1"/>
    <col min="785" max="786" width="10.7109375" style="120" bestFit="1" customWidth="1"/>
    <col min="787" max="787" width="10.28515625" style="120" bestFit="1" customWidth="1"/>
    <col min="788" max="788" width="11.85546875" style="120" bestFit="1" customWidth="1"/>
    <col min="789" max="789" width="15.42578125" style="120" customWidth="1"/>
    <col min="790" max="1022" width="9.140625" style="120"/>
    <col min="1023" max="1023" width="7" style="120" bestFit="1" customWidth="1"/>
    <col min="1024" max="1024" width="8.42578125" style="120" customWidth="1"/>
    <col min="1025" max="1025" width="5.28515625" style="120" bestFit="1" customWidth="1"/>
    <col min="1026" max="1026" width="58.140625" style="120" customWidth="1"/>
    <col min="1027" max="1027" width="0" style="120" hidden="1" customWidth="1"/>
    <col min="1028" max="1028" width="18.42578125" style="120" bestFit="1" customWidth="1"/>
    <col min="1029" max="1029" width="0" style="120" hidden="1" customWidth="1"/>
    <col min="1030" max="1030" width="18.42578125" style="120" customWidth="1"/>
    <col min="1031" max="1031" width="0" style="120" hidden="1" customWidth="1"/>
    <col min="1032" max="1032" width="9.140625" style="120"/>
    <col min="1033" max="1033" width="0" style="120" hidden="1" customWidth="1"/>
    <col min="1034" max="1037" width="15.140625" style="120" customWidth="1"/>
    <col min="1038" max="1040" width="0" style="120" hidden="1" customWidth="1"/>
    <col min="1041" max="1042" width="10.7109375" style="120" bestFit="1" customWidth="1"/>
    <col min="1043" max="1043" width="10.28515625" style="120" bestFit="1" customWidth="1"/>
    <col min="1044" max="1044" width="11.85546875" style="120" bestFit="1" customWidth="1"/>
    <col min="1045" max="1045" width="15.42578125" style="120" customWidth="1"/>
    <col min="1046" max="1278" width="9.140625" style="120"/>
    <col min="1279" max="1279" width="7" style="120" bestFit="1" customWidth="1"/>
    <col min="1280" max="1280" width="8.42578125" style="120" customWidth="1"/>
    <col min="1281" max="1281" width="5.28515625" style="120" bestFit="1" customWidth="1"/>
    <col min="1282" max="1282" width="58.140625" style="120" customWidth="1"/>
    <col min="1283" max="1283" width="0" style="120" hidden="1" customWidth="1"/>
    <col min="1284" max="1284" width="18.42578125" style="120" bestFit="1" customWidth="1"/>
    <col min="1285" max="1285" width="0" style="120" hidden="1" customWidth="1"/>
    <col min="1286" max="1286" width="18.42578125" style="120" customWidth="1"/>
    <col min="1287" max="1287" width="0" style="120" hidden="1" customWidth="1"/>
    <col min="1288" max="1288" width="9.140625" style="120"/>
    <col min="1289" max="1289" width="0" style="120" hidden="1" customWidth="1"/>
    <col min="1290" max="1293" width="15.140625" style="120" customWidth="1"/>
    <col min="1294" max="1296" width="0" style="120" hidden="1" customWidth="1"/>
    <col min="1297" max="1298" width="10.7109375" style="120" bestFit="1" customWidth="1"/>
    <col min="1299" max="1299" width="10.28515625" style="120" bestFit="1" customWidth="1"/>
    <col min="1300" max="1300" width="11.85546875" style="120" bestFit="1" customWidth="1"/>
    <col min="1301" max="1301" width="15.42578125" style="120" customWidth="1"/>
    <col min="1302" max="1534" width="9.140625" style="120"/>
    <col min="1535" max="1535" width="7" style="120" bestFit="1" customWidth="1"/>
    <col min="1536" max="1536" width="8.42578125" style="120" customWidth="1"/>
    <col min="1537" max="1537" width="5.28515625" style="120" bestFit="1" customWidth="1"/>
    <col min="1538" max="1538" width="58.140625" style="120" customWidth="1"/>
    <col min="1539" max="1539" width="0" style="120" hidden="1" customWidth="1"/>
    <col min="1540" max="1540" width="18.42578125" style="120" bestFit="1" customWidth="1"/>
    <col min="1541" max="1541" width="0" style="120" hidden="1" customWidth="1"/>
    <col min="1542" max="1542" width="18.42578125" style="120" customWidth="1"/>
    <col min="1543" max="1543" width="0" style="120" hidden="1" customWidth="1"/>
    <col min="1544" max="1544" width="9.140625" style="120"/>
    <col min="1545" max="1545" width="0" style="120" hidden="1" customWidth="1"/>
    <col min="1546" max="1549" width="15.140625" style="120" customWidth="1"/>
    <col min="1550" max="1552" width="0" style="120" hidden="1" customWidth="1"/>
    <col min="1553" max="1554" width="10.7109375" style="120" bestFit="1" customWidth="1"/>
    <col min="1555" max="1555" width="10.28515625" style="120" bestFit="1" customWidth="1"/>
    <col min="1556" max="1556" width="11.85546875" style="120" bestFit="1" customWidth="1"/>
    <col min="1557" max="1557" width="15.42578125" style="120" customWidth="1"/>
    <col min="1558" max="1790" width="9.140625" style="120"/>
    <col min="1791" max="1791" width="7" style="120" bestFit="1" customWidth="1"/>
    <col min="1792" max="1792" width="8.42578125" style="120" customWidth="1"/>
    <col min="1793" max="1793" width="5.28515625" style="120" bestFit="1" customWidth="1"/>
    <col min="1794" max="1794" width="58.140625" style="120" customWidth="1"/>
    <col min="1795" max="1795" width="0" style="120" hidden="1" customWidth="1"/>
    <col min="1796" max="1796" width="18.42578125" style="120" bestFit="1" customWidth="1"/>
    <col min="1797" max="1797" width="0" style="120" hidden="1" customWidth="1"/>
    <col min="1798" max="1798" width="18.42578125" style="120" customWidth="1"/>
    <col min="1799" max="1799" width="0" style="120" hidden="1" customWidth="1"/>
    <col min="1800" max="1800" width="9.140625" style="120"/>
    <col min="1801" max="1801" width="0" style="120" hidden="1" customWidth="1"/>
    <col min="1802" max="1805" width="15.140625" style="120" customWidth="1"/>
    <col min="1806" max="1808" width="0" style="120" hidden="1" customWidth="1"/>
    <col min="1809" max="1810" width="10.7109375" style="120" bestFit="1" customWidth="1"/>
    <col min="1811" max="1811" width="10.28515625" style="120" bestFit="1" customWidth="1"/>
    <col min="1812" max="1812" width="11.85546875" style="120" bestFit="1" customWidth="1"/>
    <col min="1813" max="1813" width="15.42578125" style="120" customWidth="1"/>
    <col min="1814" max="2046" width="9.140625" style="120"/>
    <col min="2047" max="2047" width="7" style="120" bestFit="1" customWidth="1"/>
    <col min="2048" max="2048" width="8.42578125" style="120" customWidth="1"/>
    <col min="2049" max="2049" width="5.28515625" style="120" bestFit="1" customWidth="1"/>
    <col min="2050" max="2050" width="58.140625" style="120" customWidth="1"/>
    <col min="2051" max="2051" width="0" style="120" hidden="1" customWidth="1"/>
    <col min="2052" max="2052" width="18.42578125" style="120" bestFit="1" customWidth="1"/>
    <col min="2053" max="2053" width="0" style="120" hidden="1" customWidth="1"/>
    <col min="2054" max="2054" width="18.42578125" style="120" customWidth="1"/>
    <col min="2055" max="2055" width="0" style="120" hidden="1" customWidth="1"/>
    <col min="2056" max="2056" width="9.140625" style="120"/>
    <col min="2057" max="2057" width="0" style="120" hidden="1" customWidth="1"/>
    <col min="2058" max="2061" width="15.140625" style="120" customWidth="1"/>
    <col min="2062" max="2064" width="0" style="120" hidden="1" customWidth="1"/>
    <col min="2065" max="2066" width="10.7109375" style="120" bestFit="1" customWidth="1"/>
    <col min="2067" max="2067" width="10.28515625" style="120" bestFit="1" customWidth="1"/>
    <col min="2068" max="2068" width="11.85546875" style="120" bestFit="1" customWidth="1"/>
    <col min="2069" max="2069" width="15.42578125" style="120" customWidth="1"/>
    <col min="2070" max="2302" width="9.140625" style="120"/>
    <col min="2303" max="2303" width="7" style="120" bestFit="1" customWidth="1"/>
    <col min="2304" max="2304" width="8.42578125" style="120" customWidth="1"/>
    <col min="2305" max="2305" width="5.28515625" style="120" bestFit="1" customWidth="1"/>
    <col min="2306" max="2306" width="58.140625" style="120" customWidth="1"/>
    <col min="2307" max="2307" width="0" style="120" hidden="1" customWidth="1"/>
    <col min="2308" max="2308" width="18.42578125" style="120" bestFit="1" customWidth="1"/>
    <col min="2309" max="2309" width="0" style="120" hidden="1" customWidth="1"/>
    <col min="2310" max="2310" width="18.42578125" style="120" customWidth="1"/>
    <col min="2311" max="2311" width="0" style="120" hidden="1" customWidth="1"/>
    <col min="2312" max="2312" width="9.140625" style="120"/>
    <col min="2313" max="2313" width="0" style="120" hidden="1" customWidth="1"/>
    <col min="2314" max="2317" width="15.140625" style="120" customWidth="1"/>
    <col min="2318" max="2320" width="0" style="120" hidden="1" customWidth="1"/>
    <col min="2321" max="2322" width="10.7109375" style="120" bestFit="1" customWidth="1"/>
    <col min="2323" max="2323" width="10.28515625" style="120" bestFit="1" customWidth="1"/>
    <col min="2324" max="2324" width="11.85546875" style="120" bestFit="1" customWidth="1"/>
    <col min="2325" max="2325" width="15.42578125" style="120" customWidth="1"/>
    <col min="2326" max="2558" width="9.140625" style="120"/>
    <col min="2559" max="2559" width="7" style="120" bestFit="1" customWidth="1"/>
    <col min="2560" max="2560" width="8.42578125" style="120" customWidth="1"/>
    <col min="2561" max="2561" width="5.28515625" style="120" bestFit="1" customWidth="1"/>
    <col min="2562" max="2562" width="58.140625" style="120" customWidth="1"/>
    <col min="2563" max="2563" width="0" style="120" hidden="1" customWidth="1"/>
    <col min="2564" max="2564" width="18.42578125" style="120" bestFit="1" customWidth="1"/>
    <col min="2565" max="2565" width="0" style="120" hidden="1" customWidth="1"/>
    <col min="2566" max="2566" width="18.42578125" style="120" customWidth="1"/>
    <col min="2567" max="2567" width="0" style="120" hidden="1" customWidth="1"/>
    <col min="2568" max="2568" width="9.140625" style="120"/>
    <col min="2569" max="2569" width="0" style="120" hidden="1" customWidth="1"/>
    <col min="2570" max="2573" width="15.140625" style="120" customWidth="1"/>
    <col min="2574" max="2576" width="0" style="120" hidden="1" customWidth="1"/>
    <col min="2577" max="2578" width="10.7109375" style="120" bestFit="1" customWidth="1"/>
    <col min="2579" max="2579" width="10.28515625" style="120" bestFit="1" customWidth="1"/>
    <col min="2580" max="2580" width="11.85546875" style="120" bestFit="1" customWidth="1"/>
    <col min="2581" max="2581" width="15.42578125" style="120" customWidth="1"/>
    <col min="2582" max="2814" width="9.140625" style="120"/>
    <col min="2815" max="2815" width="7" style="120" bestFit="1" customWidth="1"/>
    <col min="2816" max="2816" width="8.42578125" style="120" customWidth="1"/>
    <col min="2817" max="2817" width="5.28515625" style="120" bestFit="1" customWidth="1"/>
    <col min="2818" max="2818" width="58.140625" style="120" customWidth="1"/>
    <col min="2819" max="2819" width="0" style="120" hidden="1" customWidth="1"/>
    <col min="2820" max="2820" width="18.42578125" style="120" bestFit="1" customWidth="1"/>
    <col min="2821" max="2821" width="0" style="120" hidden="1" customWidth="1"/>
    <col min="2822" max="2822" width="18.42578125" style="120" customWidth="1"/>
    <col min="2823" max="2823" width="0" style="120" hidden="1" customWidth="1"/>
    <col min="2824" max="2824" width="9.140625" style="120"/>
    <col min="2825" max="2825" width="0" style="120" hidden="1" customWidth="1"/>
    <col min="2826" max="2829" width="15.140625" style="120" customWidth="1"/>
    <col min="2830" max="2832" width="0" style="120" hidden="1" customWidth="1"/>
    <col min="2833" max="2834" width="10.7109375" style="120" bestFit="1" customWidth="1"/>
    <col min="2835" max="2835" width="10.28515625" style="120" bestFit="1" customWidth="1"/>
    <col min="2836" max="2836" width="11.85546875" style="120" bestFit="1" customWidth="1"/>
    <col min="2837" max="2837" width="15.42578125" style="120" customWidth="1"/>
    <col min="2838" max="3070" width="9.140625" style="120"/>
    <col min="3071" max="3071" width="7" style="120" bestFit="1" customWidth="1"/>
    <col min="3072" max="3072" width="8.42578125" style="120" customWidth="1"/>
    <col min="3073" max="3073" width="5.28515625" style="120" bestFit="1" customWidth="1"/>
    <col min="3074" max="3074" width="58.140625" style="120" customWidth="1"/>
    <col min="3075" max="3075" width="0" style="120" hidden="1" customWidth="1"/>
    <col min="3076" max="3076" width="18.42578125" style="120" bestFit="1" customWidth="1"/>
    <col min="3077" max="3077" width="0" style="120" hidden="1" customWidth="1"/>
    <col min="3078" max="3078" width="18.42578125" style="120" customWidth="1"/>
    <col min="3079" max="3079" width="0" style="120" hidden="1" customWidth="1"/>
    <col min="3080" max="3080" width="9.140625" style="120"/>
    <col min="3081" max="3081" width="0" style="120" hidden="1" customWidth="1"/>
    <col min="3082" max="3085" width="15.140625" style="120" customWidth="1"/>
    <col min="3086" max="3088" width="0" style="120" hidden="1" customWidth="1"/>
    <col min="3089" max="3090" width="10.7109375" style="120" bestFit="1" customWidth="1"/>
    <col min="3091" max="3091" width="10.28515625" style="120" bestFit="1" customWidth="1"/>
    <col min="3092" max="3092" width="11.85546875" style="120" bestFit="1" customWidth="1"/>
    <col min="3093" max="3093" width="15.42578125" style="120" customWidth="1"/>
    <col min="3094" max="3326" width="9.140625" style="120"/>
    <col min="3327" max="3327" width="7" style="120" bestFit="1" customWidth="1"/>
    <col min="3328" max="3328" width="8.42578125" style="120" customWidth="1"/>
    <col min="3329" max="3329" width="5.28515625" style="120" bestFit="1" customWidth="1"/>
    <col min="3330" max="3330" width="58.140625" style="120" customWidth="1"/>
    <col min="3331" max="3331" width="0" style="120" hidden="1" customWidth="1"/>
    <col min="3332" max="3332" width="18.42578125" style="120" bestFit="1" customWidth="1"/>
    <col min="3333" max="3333" width="0" style="120" hidden="1" customWidth="1"/>
    <col min="3334" max="3334" width="18.42578125" style="120" customWidth="1"/>
    <col min="3335" max="3335" width="0" style="120" hidden="1" customWidth="1"/>
    <col min="3336" max="3336" width="9.140625" style="120"/>
    <col min="3337" max="3337" width="0" style="120" hidden="1" customWidth="1"/>
    <col min="3338" max="3341" width="15.140625" style="120" customWidth="1"/>
    <col min="3342" max="3344" width="0" style="120" hidden="1" customWidth="1"/>
    <col min="3345" max="3346" width="10.7109375" style="120" bestFit="1" customWidth="1"/>
    <col min="3347" max="3347" width="10.28515625" style="120" bestFit="1" customWidth="1"/>
    <col min="3348" max="3348" width="11.85546875" style="120" bestFit="1" customWidth="1"/>
    <col min="3349" max="3349" width="15.42578125" style="120" customWidth="1"/>
    <col min="3350" max="3582" width="9.140625" style="120"/>
    <col min="3583" max="3583" width="7" style="120" bestFit="1" customWidth="1"/>
    <col min="3584" max="3584" width="8.42578125" style="120" customWidth="1"/>
    <col min="3585" max="3585" width="5.28515625" style="120" bestFit="1" customWidth="1"/>
    <col min="3586" max="3586" width="58.140625" style="120" customWidth="1"/>
    <col min="3587" max="3587" width="0" style="120" hidden="1" customWidth="1"/>
    <col min="3588" max="3588" width="18.42578125" style="120" bestFit="1" customWidth="1"/>
    <col min="3589" max="3589" width="0" style="120" hidden="1" customWidth="1"/>
    <col min="3590" max="3590" width="18.42578125" style="120" customWidth="1"/>
    <col min="3591" max="3591" width="0" style="120" hidden="1" customWidth="1"/>
    <col min="3592" max="3592" width="9.140625" style="120"/>
    <col min="3593" max="3593" width="0" style="120" hidden="1" customWidth="1"/>
    <col min="3594" max="3597" width="15.140625" style="120" customWidth="1"/>
    <col min="3598" max="3600" width="0" style="120" hidden="1" customWidth="1"/>
    <col min="3601" max="3602" width="10.7109375" style="120" bestFit="1" customWidth="1"/>
    <col min="3603" max="3603" width="10.28515625" style="120" bestFit="1" customWidth="1"/>
    <col min="3604" max="3604" width="11.85546875" style="120" bestFit="1" customWidth="1"/>
    <col min="3605" max="3605" width="15.42578125" style="120" customWidth="1"/>
    <col min="3606" max="3838" width="9.140625" style="120"/>
    <col min="3839" max="3839" width="7" style="120" bestFit="1" customWidth="1"/>
    <col min="3840" max="3840" width="8.42578125" style="120" customWidth="1"/>
    <col min="3841" max="3841" width="5.28515625" style="120" bestFit="1" customWidth="1"/>
    <col min="3842" max="3842" width="58.140625" style="120" customWidth="1"/>
    <col min="3843" max="3843" width="0" style="120" hidden="1" customWidth="1"/>
    <col min="3844" max="3844" width="18.42578125" style="120" bestFit="1" customWidth="1"/>
    <col min="3845" max="3845" width="0" style="120" hidden="1" customWidth="1"/>
    <col min="3846" max="3846" width="18.42578125" style="120" customWidth="1"/>
    <col min="3847" max="3847" width="0" style="120" hidden="1" customWidth="1"/>
    <col min="3848" max="3848" width="9.140625" style="120"/>
    <col min="3849" max="3849" width="0" style="120" hidden="1" customWidth="1"/>
    <col min="3850" max="3853" width="15.140625" style="120" customWidth="1"/>
    <col min="3854" max="3856" width="0" style="120" hidden="1" customWidth="1"/>
    <col min="3857" max="3858" width="10.7109375" style="120" bestFit="1" customWidth="1"/>
    <col min="3859" max="3859" width="10.28515625" style="120" bestFit="1" customWidth="1"/>
    <col min="3860" max="3860" width="11.85546875" style="120" bestFit="1" customWidth="1"/>
    <col min="3861" max="3861" width="15.42578125" style="120" customWidth="1"/>
    <col min="3862" max="4094" width="9.140625" style="120"/>
    <col min="4095" max="4095" width="7" style="120" bestFit="1" customWidth="1"/>
    <col min="4096" max="4096" width="8.42578125" style="120" customWidth="1"/>
    <col min="4097" max="4097" width="5.28515625" style="120" bestFit="1" customWidth="1"/>
    <col min="4098" max="4098" width="58.140625" style="120" customWidth="1"/>
    <col min="4099" max="4099" width="0" style="120" hidden="1" customWidth="1"/>
    <col min="4100" max="4100" width="18.42578125" style="120" bestFit="1" customWidth="1"/>
    <col min="4101" max="4101" width="0" style="120" hidden="1" customWidth="1"/>
    <col min="4102" max="4102" width="18.42578125" style="120" customWidth="1"/>
    <col min="4103" max="4103" width="0" style="120" hidden="1" customWidth="1"/>
    <col min="4104" max="4104" width="9.140625" style="120"/>
    <col min="4105" max="4105" width="0" style="120" hidden="1" customWidth="1"/>
    <col min="4106" max="4109" width="15.140625" style="120" customWidth="1"/>
    <col min="4110" max="4112" width="0" style="120" hidden="1" customWidth="1"/>
    <col min="4113" max="4114" width="10.7109375" style="120" bestFit="1" customWidth="1"/>
    <col min="4115" max="4115" width="10.28515625" style="120" bestFit="1" customWidth="1"/>
    <col min="4116" max="4116" width="11.85546875" style="120" bestFit="1" customWidth="1"/>
    <col min="4117" max="4117" width="15.42578125" style="120" customWidth="1"/>
    <col min="4118" max="4350" width="9.140625" style="120"/>
    <col min="4351" max="4351" width="7" style="120" bestFit="1" customWidth="1"/>
    <col min="4352" max="4352" width="8.42578125" style="120" customWidth="1"/>
    <col min="4353" max="4353" width="5.28515625" style="120" bestFit="1" customWidth="1"/>
    <col min="4354" max="4354" width="58.140625" style="120" customWidth="1"/>
    <col min="4355" max="4355" width="0" style="120" hidden="1" customWidth="1"/>
    <col min="4356" max="4356" width="18.42578125" style="120" bestFit="1" customWidth="1"/>
    <col min="4357" max="4357" width="0" style="120" hidden="1" customWidth="1"/>
    <col min="4358" max="4358" width="18.42578125" style="120" customWidth="1"/>
    <col min="4359" max="4359" width="0" style="120" hidden="1" customWidth="1"/>
    <col min="4360" max="4360" width="9.140625" style="120"/>
    <col min="4361" max="4361" width="0" style="120" hidden="1" customWidth="1"/>
    <col min="4362" max="4365" width="15.140625" style="120" customWidth="1"/>
    <col min="4366" max="4368" width="0" style="120" hidden="1" customWidth="1"/>
    <col min="4369" max="4370" width="10.7109375" style="120" bestFit="1" customWidth="1"/>
    <col min="4371" max="4371" width="10.28515625" style="120" bestFit="1" customWidth="1"/>
    <col min="4372" max="4372" width="11.85546875" style="120" bestFit="1" customWidth="1"/>
    <col min="4373" max="4373" width="15.42578125" style="120" customWidth="1"/>
    <col min="4374" max="4606" width="9.140625" style="120"/>
    <col min="4607" max="4607" width="7" style="120" bestFit="1" customWidth="1"/>
    <col min="4608" max="4608" width="8.42578125" style="120" customWidth="1"/>
    <col min="4609" max="4609" width="5.28515625" style="120" bestFit="1" customWidth="1"/>
    <col min="4610" max="4610" width="58.140625" style="120" customWidth="1"/>
    <col min="4611" max="4611" width="0" style="120" hidden="1" customWidth="1"/>
    <col min="4612" max="4612" width="18.42578125" style="120" bestFit="1" customWidth="1"/>
    <col min="4613" max="4613" width="0" style="120" hidden="1" customWidth="1"/>
    <col min="4614" max="4614" width="18.42578125" style="120" customWidth="1"/>
    <col min="4615" max="4615" width="0" style="120" hidden="1" customWidth="1"/>
    <col min="4616" max="4616" width="9.140625" style="120"/>
    <col min="4617" max="4617" width="0" style="120" hidden="1" customWidth="1"/>
    <col min="4618" max="4621" width="15.140625" style="120" customWidth="1"/>
    <col min="4622" max="4624" width="0" style="120" hidden="1" customWidth="1"/>
    <col min="4625" max="4626" width="10.7109375" style="120" bestFit="1" customWidth="1"/>
    <col min="4627" max="4627" width="10.28515625" style="120" bestFit="1" customWidth="1"/>
    <col min="4628" max="4628" width="11.85546875" style="120" bestFit="1" customWidth="1"/>
    <col min="4629" max="4629" width="15.42578125" style="120" customWidth="1"/>
    <col min="4630" max="4862" width="9.140625" style="120"/>
    <col min="4863" max="4863" width="7" style="120" bestFit="1" customWidth="1"/>
    <col min="4864" max="4864" width="8.42578125" style="120" customWidth="1"/>
    <col min="4865" max="4865" width="5.28515625" style="120" bestFit="1" customWidth="1"/>
    <col min="4866" max="4866" width="58.140625" style="120" customWidth="1"/>
    <col min="4867" max="4867" width="0" style="120" hidden="1" customWidth="1"/>
    <col min="4868" max="4868" width="18.42578125" style="120" bestFit="1" customWidth="1"/>
    <col min="4869" max="4869" width="0" style="120" hidden="1" customWidth="1"/>
    <col min="4870" max="4870" width="18.42578125" style="120" customWidth="1"/>
    <col min="4871" max="4871" width="0" style="120" hidden="1" customWidth="1"/>
    <col min="4872" max="4872" width="9.140625" style="120"/>
    <col min="4873" max="4873" width="0" style="120" hidden="1" customWidth="1"/>
    <col min="4874" max="4877" width="15.140625" style="120" customWidth="1"/>
    <col min="4878" max="4880" width="0" style="120" hidden="1" customWidth="1"/>
    <col min="4881" max="4882" width="10.7109375" style="120" bestFit="1" customWidth="1"/>
    <col min="4883" max="4883" width="10.28515625" style="120" bestFit="1" customWidth="1"/>
    <col min="4884" max="4884" width="11.85546875" style="120" bestFit="1" customWidth="1"/>
    <col min="4885" max="4885" width="15.42578125" style="120" customWidth="1"/>
    <col min="4886" max="5118" width="9.140625" style="120"/>
    <col min="5119" max="5119" width="7" style="120" bestFit="1" customWidth="1"/>
    <col min="5120" max="5120" width="8.42578125" style="120" customWidth="1"/>
    <col min="5121" max="5121" width="5.28515625" style="120" bestFit="1" customWidth="1"/>
    <col min="5122" max="5122" width="58.140625" style="120" customWidth="1"/>
    <col min="5123" max="5123" width="0" style="120" hidden="1" customWidth="1"/>
    <col min="5124" max="5124" width="18.42578125" style="120" bestFit="1" customWidth="1"/>
    <col min="5125" max="5125" width="0" style="120" hidden="1" customWidth="1"/>
    <col min="5126" max="5126" width="18.42578125" style="120" customWidth="1"/>
    <col min="5127" max="5127" width="0" style="120" hidden="1" customWidth="1"/>
    <col min="5128" max="5128" width="9.140625" style="120"/>
    <col min="5129" max="5129" width="0" style="120" hidden="1" customWidth="1"/>
    <col min="5130" max="5133" width="15.140625" style="120" customWidth="1"/>
    <col min="5134" max="5136" width="0" style="120" hidden="1" customWidth="1"/>
    <col min="5137" max="5138" width="10.7109375" style="120" bestFit="1" customWidth="1"/>
    <col min="5139" max="5139" width="10.28515625" style="120" bestFit="1" customWidth="1"/>
    <col min="5140" max="5140" width="11.85546875" style="120" bestFit="1" customWidth="1"/>
    <col min="5141" max="5141" width="15.42578125" style="120" customWidth="1"/>
    <col min="5142" max="5374" width="9.140625" style="120"/>
    <col min="5375" max="5375" width="7" style="120" bestFit="1" customWidth="1"/>
    <col min="5376" max="5376" width="8.42578125" style="120" customWidth="1"/>
    <col min="5377" max="5377" width="5.28515625" style="120" bestFit="1" customWidth="1"/>
    <col min="5378" max="5378" width="58.140625" style="120" customWidth="1"/>
    <col min="5379" max="5379" width="0" style="120" hidden="1" customWidth="1"/>
    <col min="5380" max="5380" width="18.42578125" style="120" bestFit="1" customWidth="1"/>
    <col min="5381" max="5381" width="0" style="120" hidden="1" customWidth="1"/>
    <col min="5382" max="5382" width="18.42578125" style="120" customWidth="1"/>
    <col min="5383" max="5383" width="0" style="120" hidden="1" customWidth="1"/>
    <col min="5384" max="5384" width="9.140625" style="120"/>
    <col min="5385" max="5385" width="0" style="120" hidden="1" customWidth="1"/>
    <col min="5386" max="5389" width="15.140625" style="120" customWidth="1"/>
    <col min="5390" max="5392" width="0" style="120" hidden="1" customWidth="1"/>
    <col min="5393" max="5394" width="10.7109375" style="120" bestFit="1" customWidth="1"/>
    <col min="5395" max="5395" width="10.28515625" style="120" bestFit="1" customWidth="1"/>
    <col min="5396" max="5396" width="11.85546875" style="120" bestFit="1" customWidth="1"/>
    <col min="5397" max="5397" width="15.42578125" style="120" customWidth="1"/>
    <col min="5398" max="5630" width="9.140625" style="120"/>
    <col min="5631" max="5631" width="7" style="120" bestFit="1" customWidth="1"/>
    <col min="5632" max="5632" width="8.42578125" style="120" customWidth="1"/>
    <col min="5633" max="5633" width="5.28515625" style="120" bestFit="1" customWidth="1"/>
    <col min="5634" max="5634" width="58.140625" style="120" customWidth="1"/>
    <col min="5635" max="5635" width="0" style="120" hidden="1" customWidth="1"/>
    <col min="5636" max="5636" width="18.42578125" style="120" bestFit="1" customWidth="1"/>
    <col min="5637" max="5637" width="0" style="120" hidden="1" customWidth="1"/>
    <col min="5638" max="5638" width="18.42578125" style="120" customWidth="1"/>
    <col min="5639" max="5639" width="0" style="120" hidden="1" customWidth="1"/>
    <col min="5640" max="5640" width="9.140625" style="120"/>
    <col min="5641" max="5641" width="0" style="120" hidden="1" customWidth="1"/>
    <col min="5642" max="5645" width="15.140625" style="120" customWidth="1"/>
    <col min="5646" max="5648" width="0" style="120" hidden="1" customWidth="1"/>
    <col min="5649" max="5650" width="10.7109375" style="120" bestFit="1" customWidth="1"/>
    <col min="5651" max="5651" width="10.28515625" style="120" bestFit="1" customWidth="1"/>
    <col min="5652" max="5652" width="11.85546875" style="120" bestFit="1" customWidth="1"/>
    <col min="5653" max="5653" width="15.42578125" style="120" customWidth="1"/>
    <col min="5654" max="5886" width="9.140625" style="120"/>
    <col min="5887" max="5887" width="7" style="120" bestFit="1" customWidth="1"/>
    <col min="5888" max="5888" width="8.42578125" style="120" customWidth="1"/>
    <col min="5889" max="5889" width="5.28515625" style="120" bestFit="1" customWidth="1"/>
    <col min="5890" max="5890" width="58.140625" style="120" customWidth="1"/>
    <col min="5891" max="5891" width="0" style="120" hidden="1" customWidth="1"/>
    <col min="5892" max="5892" width="18.42578125" style="120" bestFit="1" customWidth="1"/>
    <col min="5893" max="5893" width="0" style="120" hidden="1" customWidth="1"/>
    <col min="5894" max="5894" width="18.42578125" style="120" customWidth="1"/>
    <col min="5895" max="5895" width="0" style="120" hidden="1" customWidth="1"/>
    <col min="5896" max="5896" width="9.140625" style="120"/>
    <col min="5897" max="5897" width="0" style="120" hidden="1" customWidth="1"/>
    <col min="5898" max="5901" width="15.140625" style="120" customWidth="1"/>
    <col min="5902" max="5904" width="0" style="120" hidden="1" customWidth="1"/>
    <col min="5905" max="5906" width="10.7109375" style="120" bestFit="1" customWidth="1"/>
    <col min="5907" max="5907" width="10.28515625" style="120" bestFit="1" customWidth="1"/>
    <col min="5908" max="5908" width="11.85546875" style="120" bestFit="1" customWidth="1"/>
    <col min="5909" max="5909" width="15.42578125" style="120" customWidth="1"/>
    <col min="5910" max="6142" width="9.140625" style="120"/>
    <col min="6143" max="6143" width="7" style="120" bestFit="1" customWidth="1"/>
    <col min="6144" max="6144" width="8.42578125" style="120" customWidth="1"/>
    <col min="6145" max="6145" width="5.28515625" style="120" bestFit="1" customWidth="1"/>
    <col min="6146" max="6146" width="58.140625" style="120" customWidth="1"/>
    <col min="6147" max="6147" width="0" style="120" hidden="1" customWidth="1"/>
    <col min="6148" max="6148" width="18.42578125" style="120" bestFit="1" customWidth="1"/>
    <col min="6149" max="6149" width="0" style="120" hidden="1" customWidth="1"/>
    <col min="6150" max="6150" width="18.42578125" style="120" customWidth="1"/>
    <col min="6151" max="6151" width="0" style="120" hidden="1" customWidth="1"/>
    <col min="6152" max="6152" width="9.140625" style="120"/>
    <col min="6153" max="6153" width="0" style="120" hidden="1" customWidth="1"/>
    <col min="6154" max="6157" width="15.140625" style="120" customWidth="1"/>
    <col min="6158" max="6160" width="0" style="120" hidden="1" customWidth="1"/>
    <col min="6161" max="6162" width="10.7109375" style="120" bestFit="1" customWidth="1"/>
    <col min="6163" max="6163" width="10.28515625" style="120" bestFit="1" customWidth="1"/>
    <col min="6164" max="6164" width="11.85546875" style="120" bestFit="1" customWidth="1"/>
    <col min="6165" max="6165" width="15.42578125" style="120" customWidth="1"/>
    <col min="6166" max="6398" width="9.140625" style="120"/>
    <col min="6399" max="6399" width="7" style="120" bestFit="1" customWidth="1"/>
    <col min="6400" max="6400" width="8.42578125" style="120" customWidth="1"/>
    <col min="6401" max="6401" width="5.28515625" style="120" bestFit="1" customWidth="1"/>
    <col min="6402" max="6402" width="58.140625" style="120" customWidth="1"/>
    <col min="6403" max="6403" width="0" style="120" hidden="1" customWidth="1"/>
    <col min="6404" max="6404" width="18.42578125" style="120" bestFit="1" customWidth="1"/>
    <col min="6405" max="6405" width="0" style="120" hidden="1" customWidth="1"/>
    <col min="6406" max="6406" width="18.42578125" style="120" customWidth="1"/>
    <col min="6407" max="6407" width="0" style="120" hidden="1" customWidth="1"/>
    <col min="6408" max="6408" width="9.140625" style="120"/>
    <col min="6409" max="6409" width="0" style="120" hidden="1" customWidth="1"/>
    <col min="6410" max="6413" width="15.140625" style="120" customWidth="1"/>
    <col min="6414" max="6416" width="0" style="120" hidden="1" customWidth="1"/>
    <col min="6417" max="6418" width="10.7109375" style="120" bestFit="1" customWidth="1"/>
    <col min="6419" max="6419" width="10.28515625" style="120" bestFit="1" customWidth="1"/>
    <col min="6420" max="6420" width="11.85546875" style="120" bestFit="1" customWidth="1"/>
    <col min="6421" max="6421" width="15.42578125" style="120" customWidth="1"/>
    <col min="6422" max="6654" width="9.140625" style="120"/>
    <col min="6655" max="6655" width="7" style="120" bestFit="1" customWidth="1"/>
    <col min="6656" max="6656" width="8.42578125" style="120" customWidth="1"/>
    <col min="6657" max="6657" width="5.28515625" style="120" bestFit="1" customWidth="1"/>
    <col min="6658" max="6658" width="58.140625" style="120" customWidth="1"/>
    <col min="6659" max="6659" width="0" style="120" hidden="1" customWidth="1"/>
    <col min="6660" max="6660" width="18.42578125" style="120" bestFit="1" customWidth="1"/>
    <col min="6661" max="6661" width="0" style="120" hidden="1" customWidth="1"/>
    <col min="6662" max="6662" width="18.42578125" style="120" customWidth="1"/>
    <col min="6663" max="6663" width="0" style="120" hidden="1" customWidth="1"/>
    <col min="6664" max="6664" width="9.140625" style="120"/>
    <col min="6665" max="6665" width="0" style="120" hidden="1" customWidth="1"/>
    <col min="6666" max="6669" width="15.140625" style="120" customWidth="1"/>
    <col min="6670" max="6672" width="0" style="120" hidden="1" customWidth="1"/>
    <col min="6673" max="6674" width="10.7109375" style="120" bestFit="1" customWidth="1"/>
    <col min="6675" max="6675" width="10.28515625" style="120" bestFit="1" customWidth="1"/>
    <col min="6676" max="6676" width="11.85546875" style="120" bestFit="1" customWidth="1"/>
    <col min="6677" max="6677" width="15.42578125" style="120" customWidth="1"/>
    <col min="6678" max="6910" width="9.140625" style="120"/>
    <col min="6911" max="6911" width="7" style="120" bestFit="1" customWidth="1"/>
    <col min="6912" max="6912" width="8.42578125" style="120" customWidth="1"/>
    <col min="6913" max="6913" width="5.28515625" style="120" bestFit="1" customWidth="1"/>
    <col min="6914" max="6914" width="58.140625" style="120" customWidth="1"/>
    <col min="6915" max="6915" width="0" style="120" hidden="1" customWidth="1"/>
    <col min="6916" max="6916" width="18.42578125" style="120" bestFit="1" customWidth="1"/>
    <col min="6917" max="6917" width="0" style="120" hidden="1" customWidth="1"/>
    <col min="6918" max="6918" width="18.42578125" style="120" customWidth="1"/>
    <col min="6919" max="6919" width="0" style="120" hidden="1" customWidth="1"/>
    <col min="6920" max="6920" width="9.140625" style="120"/>
    <col min="6921" max="6921" width="0" style="120" hidden="1" customWidth="1"/>
    <col min="6922" max="6925" width="15.140625" style="120" customWidth="1"/>
    <col min="6926" max="6928" width="0" style="120" hidden="1" customWidth="1"/>
    <col min="6929" max="6930" width="10.7109375" style="120" bestFit="1" customWidth="1"/>
    <col min="6931" max="6931" width="10.28515625" style="120" bestFit="1" customWidth="1"/>
    <col min="6932" max="6932" width="11.85546875" style="120" bestFit="1" customWidth="1"/>
    <col min="6933" max="6933" width="15.42578125" style="120" customWidth="1"/>
    <col min="6934" max="7166" width="9.140625" style="120"/>
    <col min="7167" max="7167" width="7" style="120" bestFit="1" customWidth="1"/>
    <col min="7168" max="7168" width="8.42578125" style="120" customWidth="1"/>
    <col min="7169" max="7169" width="5.28515625" style="120" bestFit="1" customWidth="1"/>
    <col min="7170" max="7170" width="58.140625" style="120" customWidth="1"/>
    <col min="7171" max="7171" width="0" style="120" hidden="1" customWidth="1"/>
    <col min="7172" max="7172" width="18.42578125" style="120" bestFit="1" customWidth="1"/>
    <col min="7173" max="7173" width="0" style="120" hidden="1" customWidth="1"/>
    <col min="7174" max="7174" width="18.42578125" style="120" customWidth="1"/>
    <col min="7175" max="7175" width="0" style="120" hidden="1" customWidth="1"/>
    <col min="7176" max="7176" width="9.140625" style="120"/>
    <col min="7177" max="7177" width="0" style="120" hidden="1" customWidth="1"/>
    <col min="7178" max="7181" width="15.140625" style="120" customWidth="1"/>
    <col min="7182" max="7184" width="0" style="120" hidden="1" customWidth="1"/>
    <col min="7185" max="7186" width="10.7109375" style="120" bestFit="1" customWidth="1"/>
    <col min="7187" max="7187" width="10.28515625" style="120" bestFit="1" customWidth="1"/>
    <col min="7188" max="7188" width="11.85546875" style="120" bestFit="1" customWidth="1"/>
    <col min="7189" max="7189" width="15.42578125" style="120" customWidth="1"/>
    <col min="7190" max="7422" width="9.140625" style="120"/>
    <col min="7423" max="7423" width="7" style="120" bestFit="1" customWidth="1"/>
    <col min="7424" max="7424" width="8.42578125" style="120" customWidth="1"/>
    <col min="7425" max="7425" width="5.28515625" style="120" bestFit="1" customWidth="1"/>
    <col min="7426" max="7426" width="58.140625" style="120" customWidth="1"/>
    <col min="7427" max="7427" width="0" style="120" hidden="1" customWidth="1"/>
    <col min="7428" max="7428" width="18.42578125" style="120" bestFit="1" customWidth="1"/>
    <col min="7429" max="7429" width="0" style="120" hidden="1" customWidth="1"/>
    <col min="7430" max="7430" width="18.42578125" style="120" customWidth="1"/>
    <col min="7431" max="7431" width="0" style="120" hidden="1" customWidth="1"/>
    <col min="7432" max="7432" width="9.140625" style="120"/>
    <col min="7433" max="7433" width="0" style="120" hidden="1" customWidth="1"/>
    <col min="7434" max="7437" width="15.140625" style="120" customWidth="1"/>
    <col min="7438" max="7440" width="0" style="120" hidden="1" customWidth="1"/>
    <col min="7441" max="7442" width="10.7109375" style="120" bestFit="1" customWidth="1"/>
    <col min="7443" max="7443" width="10.28515625" style="120" bestFit="1" customWidth="1"/>
    <col min="7444" max="7444" width="11.85546875" style="120" bestFit="1" customWidth="1"/>
    <col min="7445" max="7445" width="15.42578125" style="120" customWidth="1"/>
    <col min="7446" max="7678" width="9.140625" style="120"/>
    <col min="7679" max="7679" width="7" style="120" bestFit="1" customWidth="1"/>
    <col min="7680" max="7680" width="8.42578125" style="120" customWidth="1"/>
    <col min="7681" max="7681" width="5.28515625" style="120" bestFit="1" customWidth="1"/>
    <col min="7682" max="7682" width="58.140625" style="120" customWidth="1"/>
    <col min="7683" max="7683" width="0" style="120" hidden="1" customWidth="1"/>
    <col min="7684" max="7684" width="18.42578125" style="120" bestFit="1" customWidth="1"/>
    <col min="7685" max="7685" width="0" style="120" hidden="1" customWidth="1"/>
    <col min="7686" max="7686" width="18.42578125" style="120" customWidth="1"/>
    <col min="7687" max="7687" width="0" style="120" hidden="1" customWidth="1"/>
    <col min="7688" max="7688" width="9.140625" style="120"/>
    <col min="7689" max="7689" width="0" style="120" hidden="1" customWidth="1"/>
    <col min="7690" max="7693" width="15.140625" style="120" customWidth="1"/>
    <col min="7694" max="7696" width="0" style="120" hidden="1" customWidth="1"/>
    <col min="7697" max="7698" width="10.7109375" style="120" bestFit="1" customWidth="1"/>
    <col min="7699" max="7699" width="10.28515625" style="120" bestFit="1" customWidth="1"/>
    <col min="7700" max="7700" width="11.85546875" style="120" bestFit="1" customWidth="1"/>
    <col min="7701" max="7701" width="15.42578125" style="120" customWidth="1"/>
    <col min="7702" max="7934" width="9.140625" style="120"/>
    <col min="7935" max="7935" width="7" style="120" bestFit="1" customWidth="1"/>
    <col min="7936" max="7936" width="8.42578125" style="120" customWidth="1"/>
    <col min="7937" max="7937" width="5.28515625" style="120" bestFit="1" customWidth="1"/>
    <col min="7938" max="7938" width="58.140625" style="120" customWidth="1"/>
    <col min="7939" max="7939" width="0" style="120" hidden="1" customWidth="1"/>
    <col min="7940" max="7940" width="18.42578125" style="120" bestFit="1" customWidth="1"/>
    <col min="7941" max="7941" width="0" style="120" hidden="1" customWidth="1"/>
    <col min="7942" max="7942" width="18.42578125" style="120" customWidth="1"/>
    <col min="7943" max="7943" width="0" style="120" hidden="1" customWidth="1"/>
    <col min="7944" max="7944" width="9.140625" style="120"/>
    <col min="7945" max="7945" width="0" style="120" hidden="1" customWidth="1"/>
    <col min="7946" max="7949" width="15.140625" style="120" customWidth="1"/>
    <col min="7950" max="7952" width="0" style="120" hidden="1" customWidth="1"/>
    <col min="7953" max="7954" width="10.7109375" style="120" bestFit="1" customWidth="1"/>
    <col min="7955" max="7955" width="10.28515625" style="120" bestFit="1" customWidth="1"/>
    <col min="7956" max="7956" width="11.85546875" style="120" bestFit="1" customWidth="1"/>
    <col min="7957" max="7957" width="15.42578125" style="120" customWidth="1"/>
    <col min="7958" max="8190" width="9.140625" style="120"/>
    <col min="8191" max="8191" width="7" style="120" bestFit="1" customWidth="1"/>
    <col min="8192" max="8192" width="8.42578125" style="120" customWidth="1"/>
    <col min="8193" max="8193" width="5.28515625" style="120" bestFit="1" customWidth="1"/>
    <col min="8194" max="8194" width="58.140625" style="120" customWidth="1"/>
    <col min="8195" max="8195" width="0" style="120" hidden="1" customWidth="1"/>
    <col min="8196" max="8196" width="18.42578125" style="120" bestFit="1" customWidth="1"/>
    <col min="8197" max="8197" width="0" style="120" hidden="1" customWidth="1"/>
    <col min="8198" max="8198" width="18.42578125" style="120" customWidth="1"/>
    <col min="8199" max="8199" width="0" style="120" hidden="1" customWidth="1"/>
    <col min="8200" max="8200" width="9.140625" style="120"/>
    <col min="8201" max="8201" width="0" style="120" hidden="1" customWidth="1"/>
    <col min="8202" max="8205" width="15.140625" style="120" customWidth="1"/>
    <col min="8206" max="8208" width="0" style="120" hidden="1" customWidth="1"/>
    <col min="8209" max="8210" width="10.7109375" style="120" bestFit="1" customWidth="1"/>
    <col min="8211" max="8211" width="10.28515625" style="120" bestFit="1" customWidth="1"/>
    <col min="8212" max="8212" width="11.85546875" style="120" bestFit="1" customWidth="1"/>
    <col min="8213" max="8213" width="15.42578125" style="120" customWidth="1"/>
    <col min="8214" max="8446" width="9.140625" style="120"/>
    <col min="8447" max="8447" width="7" style="120" bestFit="1" customWidth="1"/>
    <col min="8448" max="8448" width="8.42578125" style="120" customWidth="1"/>
    <col min="8449" max="8449" width="5.28515625" style="120" bestFit="1" customWidth="1"/>
    <col min="8450" max="8450" width="58.140625" style="120" customWidth="1"/>
    <col min="8451" max="8451" width="0" style="120" hidden="1" customWidth="1"/>
    <col min="8452" max="8452" width="18.42578125" style="120" bestFit="1" customWidth="1"/>
    <col min="8453" max="8453" width="0" style="120" hidden="1" customWidth="1"/>
    <col min="8454" max="8454" width="18.42578125" style="120" customWidth="1"/>
    <col min="8455" max="8455" width="0" style="120" hidden="1" customWidth="1"/>
    <col min="8456" max="8456" width="9.140625" style="120"/>
    <col min="8457" max="8457" width="0" style="120" hidden="1" customWidth="1"/>
    <col min="8458" max="8461" width="15.140625" style="120" customWidth="1"/>
    <col min="8462" max="8464" width="0" style="120" hidden="1" customWidth="1"/>
    <col min="8465" max="8466" width="10.7109375" style="120" bestFit="1" customWidth="1"/>
    <col min="8467" max="8467" width="10.28515625" style="120" bestFit="1" customWidth="1"/>
    <col min="8468" max="8468" width="11.85546875" style="120" bestFit="1" customWidth="1"/>
    <col min="8469" max="8469" width="15.42578125" style="120" customWidth="1"/>
    <col min="8470" max="8702" width="9.140625" style="120"/>
    <col min="8703" max="8703" width="7" style="120" bestFit="1" customWidth="1"/>
    <col min="8704" max="8704" width="8.42578125" style="120" customWidth="1"/>
    <col min="8705" max="8705" width="5.28515625" style="120" bestFit="1" customWidth="1"/>
    <col min="8706" max="8706" width="58.140625" style="120" customWidth="1"/>
    <col min="8707" max="8707" width="0" style="120" hidden="1" customWidth="1"/>
    <col min="8708" max="8708" width="18.42578125" style="120" bestFit="1" customWidth="1"/>
    <col min="8709" max="8709" width="0" style="120" hidden="1" customWidth="1"/>
    <col min="8710" max="8710" width="18.42578125" style="120" customWidth="1"/>
    <col min="8711" max="8711" width="0" style="120" hidden="1" customWidth="1"/>
    <col min="8712" max="8712" width="9.140625" style="120"/>
    <col min="8713" max="8713" width="0" style="120" hidden="1" customWidth="1"/>
    <col min="8714" max="8717" width="15.140625" style="120" customWidth="1"/>
    <col min="8718" max="8720" width="0" style="120" hidden="1" customWidth="1"/>
    <col min="8721" max="8722" width="10.7109375" style="120" bestFit="1" customWidth="1"/>
    <col min="8723" max="8723" width="10.28515625" style="120" bestFit="1" customWidth="1"/>
    <col min="8724" max="8724" width="11.85546875" style="120" bestFit="1" customWidth="1"/>
    <col min="8725" max="8725" width="15.42578125" style="120" customWidth="1"/>
    <col min="8726" max="8958" width="9.140625" style="120"/>
    <col min="8959" max="8959" width="7" style="120" bestFit="1" customWidth="1"/>
    <col min="8960" max="8960" width="8.42578125" style="120" customWidth="1"/>
    <col min="8961" max="8961" width="5.28515625" style="120" bestFit="1" customWidth="1"/>
    <col min="8962" max="8962" width="58.140625" style="120" customWidth="1"/>
    <col min="8963" max="8963" width="0" style="120" hidden="1" customWidth="1"/>
    <col min="8964" max="8964" width="18.42578125" style="120" bestFit="1" customWidth="1"/>
    <col min="8965" max="8965" width="0" style="120" hidden="1" customWidth="1"/>
    <col min="8966" max="8966" width="18.42578125" style="120" customWidth="1"/>
    <col min="8967" max="8967" width="0" style="120" hidden="1" customWidth="1"/>
    <col min="8968" max="8968" width="9.140625" style="120"/>
    <col min="8969" max="8969" width="0" style="120" hidden="1" customWidth="1"/>
    <col min="8970" max="8973" width="15.140625" style="120" customWidth="1"/>
    <col min="8974" max="8976" width="0" style="120" hidden="1" customWidth="1"/>
    <col min="8977" max="8978" width="10.7109375" style="120" bestFit="1" customWidth="1"/>
    <col min="8979" max="8979" width="10.28515625" style="120" bestFit="1" customWidth="1"/>
    <col min="8980" max="8980" width="11.85546875" style="120" bestFit="1" customWidth="1"/>
    <col min="8981" max="8981" width="15.42578125" style="120" customWidth="1"/>
    <col min="8982" max="9214" width="9.140625" style="120"/>
    <col min="9215" max="9215" width="7" style="120" bestFit="1" customWidth="1"/>
    <col min="9216" max="9216" width="8.42578125" style="120" customWidth="1"/>
    <col min="9217" max="9217" width="5.28515625" style="120" bestFit="1" customWidth="1"/>
    <col min="9218" max="9218" width="58.140625" style="120" customWidth="1"/>
    <col min="9219" max="9219" width="0" style="120" hidden="1" customWidth="1"/>
    <col min="9220" max="9220" width="18.42578125" style="120" bestFit="1" customWidth="1"/>
    <col min="9221" max="9221" width="0" style="120" hidden="1" customWidth="1"/>
    <col min="9222" max="9222" width="18.42578125" style="120" customWidth="1"/>
    <col min="9223" max="9223" width="0" style="120" hidden="1" customWidth="1"/>
    <col min="9224" max="9224" width="9.140625" style="120"/>
    <col min="9225" max="9225" width="0" style="120" hidden="1" customWidth="1"/>
    <col min="9226" max="9229" width="15.140625" style="120" customWidth="1"/>
    <col min="9230" max="9232" width="0" style="120" hidden="1" customWidth="1"/>
    <col min="9233" max="9234" width="10.7109375" style="120" bestFit="1" customWidth="1"/>
    <col min="9235" max="9235" width="10.28515625" style="120" bestFit="1" customWidth="1"/>
    <col min="9236" max="9236" width="11.85546875" style="120" bestFit="1" customWidth="1"/>
    <col min="9237" max="9237" width="15.42578125" style="120" customWidth="1"/>
    <col min="9238" max="9470" width="9.140625" style="120"/>
    <col min="9471" max="9471" width="7" style="120" bestFit="1" customWidth="1"/>
    <col min="9472" max="9472" width="8.42578125" style="120" customWidth="1"/>
    <col min="9473" max="9473" width="5.28515625" style="120" bestFit="1" customWidth="1"/>
    <col min="9474" max="9474" width="58.140625" style="120" customWidth="1"/>
    <col min="9475" max="9475" width="0" style="120" hidden="1" customWidth="1"/>
    <col min="9476" max="9476" width="18.42578125" style="120" bestFit="1" customWidth="1"/>
    <col min="9477" max="9477" width="0" style="120" hidden="1" customWidth="1"/>
    <col min="9478" max="9478" width="18.42578125" style="120" customWidth="1"/>
    <col min="9479" max="9479" width="0" style="120" hidden="1" customWidth="1"/>
    <col min="9480" max="9480" width="9.140625" style="120"/>
    <col min="9481" max="9481" width="0" style="120" hidden="1" customWidth="1"/>
    <col min="9482" max="9485" width="15.140625" style="120" customWidth="1"/>
    <col min="9486" max="9488" width="0" style="120" hidden="1" customWidth="1"/>
    <col min="9489" max="9490" width="10.7109375" style="120" bestFit="1" customWidth="1"/>
    <col min="9491" max="9491" width="10.28515625" style="120" bestFit="1" customWidth="1"/>
    <col min="9492" max="9492" width="11.85546875" style="120" bestFit="1" customWidth="1"/>
    <col min="9493" max="9493" width="15.42578125" style="120" customWidth="1"/>
    <col min="9494" max="9726" width="9.140625" style="120"/>
    <col min="9727" max="9727" width="7" style="120" bestFit="1" customWidth="1"/>
    <col min="9728" max="9728" width="8.42578125" style="120" customWidth="1"/>
    <col min="9729" max="9729" width="5.28515625" style="120" bestFit="1" customWidth="1"/>
    <col min="9730" max="9730" width="58.140625" style="120" customWidth="1"/>
    <col min="9731" max="9731" width="0" style="120" hidden="1" customWidth="1"/>
    <col min="9732" max="9732" width="18.42578125" style="120" bestFit="1" customWidth="1"/>
    <col min="9733" max="9733" width="0" style="120" hidden="1" customWidth="1"/>
    <col min="9734" max="9734" width="18.42578125" style="120" customWidth="1"/>
    <col min="9735" max="9735" width="0" style="120" hidden="1" customWidth="1"/>
    <col min="9736" max="9736" width="9.140625" style="120"/>
    <col min="9737" max="9737" width="0" style="120" hidden="1" customWidth="1"/>
    <col min="9738" max="9741" width="15.140625" style="120" customWidth="1"/>
    <col min="9742" max="9744" width="0" style="120" hidden="1" customWidth="1"/>
    <col min="9745" max="9746" width="10.7109375" style="120" bestFit="1" customWidth="1"/>
    <col min="9747" max="9747" width="10.28515625" style="120" bestFit="1" customWidth="1"/>
    <col min="9748" max="9748" width="11.85546875" style="120" bestFit="1" customWidth="1"/>
    <col min="9749" max="9749" width="15.42578125" style="120" customWidth="1"/>
    <col min="9750" max="9982" width="9.140625" style="120"/>
    <col min="9983" max="9983" width="7" style="120" bestFit="1" customWidth="1"/>
    <col min="9984" max="9984" width="8.42578125" style="120" customWidth="1"/>
    <col min="9985" max="9985" width="5.28515625" style="120" bestFit="1" customWidth="1"/>
    <col min="9986" max="9986" width="58.140625" style="120" customWidth="1"/>
    <col min="9987" max="9987" width="0" style="120" hidden="1" customWidth="1"/>
    <col min="9988" max="9988" width="18.42578125" style="120" bestFit="1" customWidth="1"/>
    <col min="9989" max="9989" width="0" style="120" hidden="1" customWidth="1"/>
    <col min="9990" max="9990" width="18.42578125" style="120" customWidth="1"/>
    <col min="9991" max="9991" width="0" style="120" hidden="1" customWidth="1"/>
    <col min="9992" max="9992" width="9.140625" style="120"/>
    <col min="9993" max="9993" width="0" style="120" hidden="1" customWidth="1"/>
    <col min="9994" max="9997" width="15.140625" style="120" customWidth="1"/>
    <col min="9998" max="10000" width="0" style="120" hidden="1" customWidth="1"/>
    <col min="10001" max="10002" width="10.7109375" style="120" bestFit="1" customWidth="1"/>
    <col min="10003" max="10003" width="10.28515625" style="120" bestFit="1" customWidth="1"/>
    <col min="10004" max="10004" width="11.85546875" style="120" bestFit="1" customWidth="1"/>
    <col min="10005" max="10005" width="15.42578125" style="120" customWidth="1"/>
    <col min="10006" max="10238" width="9.140625" style="120"/>
    <col min="10239" max="10239" width="7" style="120" bestFit="1" customWidth="1"/>
    <col min="10240" max="10240" width="8.42578125" style="120" customWidth="1"/>
    <col min="10241" max="10241" width="5.28515625" style="120" bestFit="1" customWidth="1"/>
    <col min="10242" max="10242" width="58.140625" style="120" customWidth="1"/>
    <col min="10243" max="10243" width="0" style="120" hidden="1" customWidth="1"/>
    <col min="10244" max="10244" width="18.42578125" style="120" bestFit="1" customWidth="1"/>
    <col min="10245" max="10245" width="0" style="120" hidden="1" customWidth="1"/>
    <col min="10246" max="10246" width="18.42578125" style="120" customWidth="1"/>
    <col min="10247" max="10247" width="0" style="120" hidden="1" customWidth="1"/>
    <col min="10248" max="10248" width="9.140625" style="120"/>
    <col min="10249" max="10249" width="0" style="120" hidden="1" customWidth="1"/>
    <col min="10250" max="10253" width="15.140625" style="120" customWidth="1"/>
    <col min="10254" max="10256" width="0" style="120" hidden="1" customWidth="1"/>
    <col min="10257" max="10258" width="10.7109375" style="120" bestFit="1" customWidth="1"/>
    <col min="10259" max="10259" width="10.28515625" style="120" bestFit="1" customWidth="1"/>
    <col min="10260" max="10260" width="11.85546875" style="120" bestFit="1" customWidth="1"/>
    <col min="10261" max="10261" width="15.42578125" style="120" customWidth="1"/>
    <col min="10262" max="10494" width="9.140625" style="120"/>
    <col min="10495" max="10495" width="7" style="120" bestFit="1" customWidth="1"/>
    <col min="10496" max="10496" width="8.42578125" style="120" customWidth="1"/>
    <col min="10497" max="10497" width="5.28515625" style="120" bestFit="1" customWidth="1"/>
    <col min="10498" max="10498" width="58.140625" style="120" customWidth="1"/>
    <col min="10499" max="10499" width="0" style="120" hidden="1" customWidth="1"/>
    <col min="10500" max="10500" width="18.42578125" style="120" bestFit="1" customWidth="1"/>
    <col min="10501" max="10501" width="0" style="120" hidden="1" customWidth="1"/>
    <col min="10502" max="10502" width="18.42578125" style="120" customWidth="1"/>
    <col min="10503" max="10503" width="0" style="120" hidden="1" customWidth="1"/>
    <col min="10504" max="10504" width="9.140625" style="120"/>
    <col min="10505" max="10505" width="0" style="120" hidden="1" customWidth="1"/>
    <col min="10506" max="10509" width="15.140625" style="120" customWidth="1"/>
    <col min="10510" max="10512" width="0" style="120" hidden="1" customWidth="1"/>
    <col min="10513" max="10514" width="10.7109375" style="120" bestFit="1" customWidth="1"/>
    <col min="10515" max="10515" width="10.28515625" style="120" bestFit="1" customWidth="1"/>
    <col min="10516" max="10516" width="11.85546875" style="120" bestFit="1" customWidth="1"/>
    <col min="10517" max="10517" width="15.42578125" style="120" customWidth="1"/>
    <col min="10518" max="10750" width="9.140625" style="120"/>
    <col min="10751" max="10751" width="7" style="120" bestFit="1" customWidth="1"/>
    <col min="10752" max="10752" width="8.42578125" style="120" customWidth="1"/>
    <col min="10753" max="10753" width="5.28515625" style="120" bestFit="1" customWidth="1"/>
    <col min="10754" max="10754" width="58.140625" style="120" customWidth="1"/>
    <col min="10755" max="10755" width="0" style="120" hidden="1" customWidth="1"/>
    <col min="10756" max="10756" width="18.42578125" style="120" bestFit="1" customWidth="1"/>
    <col min="10757" max="10757" width="0" style="120" hidden="1" customWidth="1"/>
    <col min="10758" max="10758" width="18.42578125" style="120" customWidth="1"/>
    <col min="10759" max="10759" width="0" style="120" hidden="1" customWidth="1"/>
    <col min="10760" max="10760" width="9.140625" style="120"/>
    <col min="10761" max="10761" width="0" style="120" hidden="1" customWidth="1"/>
    <col min="10762" max="10765" width="15.140625" style="120" customWidth="1"/>
    <col min="10766" max="10768" width="0" style="120" hidden="1" customWidth="1"/>
    <col min="10769" max="10770" width="10.7109375" style="120" bestFit="1" customWidth="1"/>
    <col min="10771" max="10771" width="10.28515625" style="120" bestFit="1" customWidth="1"/>
    <col min="10772" max="10772" width="11.85546875" style="120" bestFit="1" customWidth="1"/>
    <col min="10773" max="10773" width="15.42578125" style="120" customWidth="1"/>
    <col min="10774" max="11006" width="9.140625" style="120"/>
    <col min="11007" max="11007" width="7" style="120" bestFit="1" customWidth="1"/>
    <col min="11008" max="11008" width="8.42578125" style="120" customWidth="1"/>
    <col min="11009" max="11009" width="5.28515625" style="120" bestFit="1" customWidth="1"/>
    <col min="11010" max="11010" width="58.140625" style="120" customWidth="1"/>
    <col min="11011" max="11011" width="0" style="120" hidden="1" customWidth="1"/>
    <col min="11012" max="11012" width="18.42578125" style="120" bestFit="1" customWidth="1"/>
    <col min="11013" max="11013" width="0" style="120" hidden="1" customWidth="1"/>
    <col min="11014" max="11014" width="18.42578125" style="120" customWidth="1"/>
    <col min="11015" max="11015" width="0" style="120" hidden="1" customWidth="1"/>
    <col min="11016" max="11016" width="9.140625" style="120"/>
    <col min="11017" max="11017" width="0" style="120" hidden="1" customWidth="1"/>
    <col min="11018" max="11021" width="15.140625" style="120" customWidth="1"/>
    <col min="11022" max="11024" width="0" style="120" hidden="1" customWidth="1"/>
    <col min="11025" max="11026" width="10.7109375" style="120" bestFit="1" customWidth="1"/>
    <col min="11027" max="11027" width="10.28515625" style="120" bestFit="1" customWidth="1"/>
    <col min="11028" max="11028" width="11.85546875" style="120" bestFit="1" customWidth="1"/>
    <col min="11029" max="11029" width="15.42578125" style="120" customWidth="1"/>
    <col min="11030" max="11262" width="9.140625" style="120"/>
    <col min="11263" max="11263" width="7" style="120" bestFit="1" customWidth="1"/>
    <col min="11264" max="11264" width="8.42578125" style="120" customWidth="1"/>
    <col min="11265" max="11265" width="5.28515625" style="120" bestFit="1" customWidth="1"/>
    <col min="11266" max="11266" width="58.140625" style="120" customWidth="1"/>
    <col min="11267" max="11267" width="0" style="120" hidden="1" customWidth="1"/>
    <col min="11268" max="11268" width="18.42578125" style="120" bestFit="1" customWidth="1"/>
    <col min="11269" max="11269" width="0" style="120" hidden="1" customWidth="1"/>
    <col min="11270" max="11270" width="18.42578125" style="120" customWidth="1"/>
    <col min="11271" max="11271" width="0" style="120" hidden="1" customWidth="1"/>
    <col min="11272" max="11272" width="9.140625" style="120"/>
    <col min="11273" max="11273" width="0" style="120" hidden="1" customWidth="1"/>
    <col min="11274" max="11277" width="15.140625" style="120" customWidth="1"/>
    <col min="11278" max="11280" width="0" style="120" hidden="1" customWidth="1"/>
    <col min="11281" max="11282" width="10.7109375" style="120" bestFit="1" customWidth="1"/>
    <col min="11283" max="11283" width="10.28515625" style="120" bestFit="1" customWidth="1"/>
    <col min="11284" max="11284" width="11.85546875" style="120" bestFit="1" customWidth="1"/>
    <col min="11285" max="11285" width="15.42578125" style="120" customWidth="1"/>
    <col min="11286" max="11518" width="9.140625" style="120"/>
    <col min="11519" max="11519" width="7" style="120" bestFit="1" customWidth="1"/>
    <col min="11520" max="11520" width="8.42578125" style="120" customWidth="1"/>
    <col min="11521" max="11521" width="5.28515625" style="120" bestFit="1" customWidth="1"/>
    <col min="11522" max="11522" width="58.140625" style="120" customWidth="1"/>
    <col min="11523" max="11523" width="0" style="120" hidden="1" customWidth="1"/>
    <col min="11524" max="11524" width="18.42578125" style="120" bestFit="1" customWidth="1"/>
    <col min="11525" max="11525" width="0" style="120" hidden="1" customWidth="1"/>
    <col min="11526" max="11526" width="18.42578125" style="120" customWidth="1"/>
    <col min="11527" max="11527" width="0" style="120" hidden="1" customWidth="1"/>
    <col min="11528" max="11528" width="9.140625" style="120"/>
    <col min="11529" max="11529" width="0" style="120" hidden="1" customWidth="1"/>
    <col min="11530" max="11533" width="15.140625" style="120" customWidth="1"/>
    <col min="11534" max="11536" width="0" style="120" hidden="1" customWidth="1"/>
    <col min="11537" max="11538" width="10.7109375" style="120" bestFit="1" customWidth="1"/>
    <col min="11539" max="11539" width="10.28515625" style="120" bestFit="1" customWidth="1"/>
    <col min="11540" max="11540" width="11.85546875" style="120" bestFit="1" customWidth="1"/>
    <col min="11541" max="11541" width="15.42578125" style="120" customWidth="1"/>
    <col min="11542" max="11774" width="9.140625" style="120"/>
    <col min="11775" max="11775" width="7" style="120" bestFit="1" customWidth="1"/>
    <col min="11776" max="11776" width="8.42578125" style="120" customWidth="1"/>
    <col min="11777" max="11777" width="5.28515625" style="120" bestFit="1" customWidth="1"/>
    <col min="11778" max="11778" width="58.140625" style="120" customWidth="1"/>
    <col min="11779" max="11779" width="0" style="120" hidden="1" customWidth="1"/>
    <col min="11780" max="11780" width="18.42578125" style="120" bestFit="1" customWidth="1"/>
    <col min="11781" max="11781" width="0" style="120" hidden="1" customWidth="1"/>
    <col min="11782" max="11782" width="18.42578125" style="120" customWidth="1"/>
    <col min="11783" max="11783" width="0" style="120" hidden="1" customWidth="1"/>
    <col min="11784" max="11784" width="9.140625" style="120"/>
    <col min="11785" max="11785" width="0" style="120" hidden="1" customWidth="1"/>
    <col min="11786" max="11789" width="15.140625" style="120" customWidth="1"/>
    <col min="11790" max="11792" width="0" style="120" hidden="1" customWidth="1"/>
    <col min="11793" max="11794" width="10.7109375" style="120" bestFit="1" customWidth="1"/>
    <col min="11795" max="11795" width="10.28515625" style="120" bestFit="1" customWidth="1"/>
    <col min="11796" max="11796" width="11.85546875" style="120" bestFit="1" customWidth="1"/>
    <col min="11797" max="11797" width="15.42578125" style="120" customWidth="1"/>
    <col min="11798" max="12030" width="9.140625" style="120"/>
    <col min="12031" max="12031" width="7" style="120" bestFit="1" customWidth="1"/>
    <col min="12032" max="12032" width="8.42578125" style="120" customWidth="1"/>
    <col min="12033" max="12033" width="5.28515625" style="120" bestFit="1" customWidth="1"/>
    <col min="12034" max="12034" width="58.140625" style="120" customWidth="1"/>
    <col min="12035" max="12035" width="0" style="120" hidden="1" customWidth="1"/>
    <col min="12036" max="12036" width="18.42578125" style="120" bestFit="1" customWidth="1"/>
    <col min="12037" max="12037" width="0" style="120" hidden="1" customWidth="1"/>
    <col min="12038" max="12038" width="18.42578125" style="120" customWidth="1"/>
    <col min="12039" max="12039" width="0" style="120" hidden="1" customWidth="1"/>
    <col min="12040" max="12040" width="9.140625" style="120"/>
    <col min="12041" max="12041" width="0" style="120" hidden="1" customWidth="1"/>
    <col min="12042" max="12045" width="15.140625" style="120" customWidth="1"/>
    <col min="12046" max="12048" width="0" style="120" hidden="1" customWidth="1"/>
    <col min="12049" max="12050" width="10.7109375" style="120" bestFit="1" customWidth="1"/>
    <col min="12051" max="12051" width="10.28515625" style="120" bestFit="1" customWidth="1"/>
    <col min="12052" max="12052" width="11.85546875" style="120" bestFit="1" customWidth="1"/>
    <col min="12053" max="12053" width="15.42578125" style="120" customWidth="1"/>
    <col min="12054" max="12286" width="9.140625" style="120"/>
    <col min="12287" max="12287" width="7" style="120" bestFit="1" customWidth="1"/>
    <col min="12288" max="12288" width="8.42578125" style="120" customWidth="1"/>
    <col min="12289" max="12289" width="5.28515625" style="120" bestFit="1" customWidth="1"/>
    <col min="12290" max="12290" width="58.140625" style="120" customWidth="1"/>
    <col min="12291" max="12291" width="0" style="120" hidden="1" customWidth="1"/>
    <col min="12292" max="12292" width="18.42578125" style="120" bestFit="1" customWidth="1"/>
    <col min="12293" max="12293" width="0" style="120" hidden="1" customWidth="1"/>
    <col min="12294" max="12294" width="18.42578125" style="120" customWidth="1"/>
    <col min="12295" max="12295" width="0" style="120" hidden="1" customWidth="1"/>
    <col min="12296" max="12296" width="9.140625" style="120"/>
    <col min="12297" max="12297" width="0" style="120" hidden="1" customWidth="1"/>
    <col min="12298" max="12301" width="15.140625" style="120" customWidth="1"/>
    <col min="12302" max="12304" width="0" style="120" hidden="1" customWidth="1"/>
    <col min="12305" max="12306" width="10.7109375" style="120" bestFit="1" customWidth="1"/>
    <col min="12307" max="12307" width="10.28515625" style="120" bestFit="1" customWidth="1"/>
    <col min="12308" max="12308" width="11.85546875" style="120" bestFit="1" customWidth="1"/>
    <col min="12309" max="12309" width="15.42578125" style="120" customWidth="1"/>
    <col min="12310" max="12542" width="9.140625" style="120"/>
    <col min="12543" max="12543" width="7" style="120" bestFit="1" customWidth="1"/>
    <col min="12544" max="12544" width="8.42578125" style="120" customWidth="1"/>
    <col min="12545" max="12545" width="5.28515625" style="120" bestFit="1" customWidth="1"/>
    <col min="12546" max="12546" width="58.140625" style="120" customWidth="1"/>
    <col min="12547" max="12547" width="0" style="120" hidden="1" customWidth="1"/>
    <col min="12548" max="12548" width="18.42578125" style="120" bestFit="1" customWidth="1"/>
    <col min="12549" max="12549" width="0" style="120" hidden="1" customWidth="1"/>
    <col min="12550" max="12550" width="18.42578125" style="120" customWidth="1"/>
    <col min="12551" max="12551" width="0" style="120" hidden="1" customWidth="1"/>
    <col min="12552" max="12552" width="9.140625" style="120"/>
    <col min="12553" max="12553" width="0" style="120" hidden="1" customWidth="1"/>
    <col min="12554" max="12557" width="15.140625" style="120" customWidth="1"/>
    <col min="12558" max="12560" width="0" style="120" hidden="1" customWidth="1"/>
    <col min="12561" max="12562" width="10.7109375" style="120" bestFit="1" customWidth="1"/>
    <col min="12563" max="12563" width="10.28515625" style="120" bestFit="1" customWidth="1"/>
    <col min="12564" max="12564" width="11.85546875" style="120" bestFit="1" customWidth="1"/>
    <col min="12565" max="12565" width="15.42578125" style="120" customWidth="1"/>
    <col min="12566" max="12798" width="9.140625" style="120"/>
    <col min="12799" max="12799" width="7" style="120" bestFit="1" customWidth="1"/>
    <col min="12800" max="12800" width="8.42578125" style="120" customWidth="1"/>
    <col min="12801" max="12801" width="5.28515625" style="120" bestFit="1" customWidth="1"/>
    <col min="12802" max="12802" width="58.140625" style="120" customWidth="1"/>
    <col min="12803" max="12803" width="0" style="120" hidden="1" customWidth="1"/>
    <col min="12804" max="12804" width="18.42578125" style="120" bestFit="1" customWidth="1"/>
    <col min="12805" max="12805" width="0" style="120" hidden="1" customWidth="1"/>
    <col min="12806" max="12806" width="18.42578125" style="120" customWidth="1"/>
    <col min="12807" max="12807" width="0" style="120" hidden="1" customWidth="1"/>
    <col min="12808" max="12808" width="9.140625" style="120"/>
    <col min="12809" max="12809" width="0" style="120" hidden="1" customWidth="1"/>
    <col min="12810" max="12813" width="15.140625" style="120" customWidth="1"/>
    <col min="12814" max="12816" width="0" style="120" hidden="1" customWidth="1"/>
    <col min="12817" max="12818" width="10.7109375" style="120" bestFit="1" customWidth="1"/>
    <col min="12819" max="12819" width="10.28515625" style="120" bestFit="1" customWidth="1"/>
    <col min="12820" max="12820" width="11.85546875" style="120" bestFit="1" customWidth="1"/>
    <col min="12821" max="12821" width="15.42578125" style="120" customWidth="1"/>
    <col min="12822" max="13054" width="9.140625" style="120"/>
    <col min="13055" max="13055" width="7" style="120" bestFit="1" customWidth="1"/>
    <col min="13056" max="13056" width="8.42578125" style="120" customWidth="1"/>
    <col min="13057" max="13057" width="5.28515625" style="120" bestFit="1" customWidth="1"/>
    <col min="13058" max="13058" width="58.140625" style="120" customWidth="1"/>
    <col min="13059" max="13059" width="0" style="120" hidden="1" customWidth="1"/>
    <col min="13060" max="13060" width="18.42578125" style="120" bestFit="1" customWidth="1"/>
    <col min="13061" max="13061" width="0" style="120" hidden="1" customWidth="1"/>
    <col min="13062" max="13062" width="18.42578125" style="120" customWidth="1"/>
    <col min="13063" max="13063" width="0" style="120" hidden="1" customWidth="1"/>
    <col min="13064" max="13064" width="9.140625" style="120"/>
    <col min="13065" max="13065" width="0" style="120" hidden="1" customWidth="1"/>
    <col min="13066" max="13069" width="15.140625" style="120" customWidth="1"/>
    <col min="13070" max="13072" width="0" style="120" hidden="1" customWidth="1"/>
    <col min="13073" max="13074" width="10.7109375" style="120" bestFit="1" customWidth="1"/>
    <col min="13075" max="13075" width="10.28515625" style="120" bestFit="1" customWidth="1"/>
    <col min="13076" max="13076" width="11.85546875" style="120" bestFit="1" customWidth="1"/>
    <col min="13077" max="13077" width="15.42578125" style="120" customWidth="1"/>
    <col min="13078" max="13310" width="9.140625" style="120"/>
    <col min="13311" max="13311" width="7" style="120" bestFit="1" customWidth="1"/>
    <col min="13312" max="13312" width="8.42578125" style="120" customWidth="1"/>
    <col min="13313" max="13313" width="5.28515625" style="120" bestFit="1" customWidth="1"/>
    <col min="13314" max="13314" width="58.140625" style="120" customWidth="1"/>
    <col min="13315" max="13315" width="0" style="120" hidden="1" customWidth="1"/>
    <col min="13316" max="13316" width="18.42578125" style="120" bestFit="1" customWidth="1"/>
    <col min="13317" max="13317" width="0" style="120" hidden="1" customWidth="1"/>
    <col min="13318" max="13318" width="18.42578125" style="120" customWidth="1"/>
    <col min="13319" max="13319" width="0" style="120" hidden="1" customWidth="1"/>
    <col min="13320" max="13320" width="9.140625" style="120"/>
    <col min="13321" max="13321" width="0" style="120" hidden="1" customWidth="1"/>
    <col min="13322" max="13325" width="15.140625" style="120" customWidth="1"/>
    <col min="13326" max="13328" width="0" style="120" hidden="1" customWidth="1"/>
    <col min="13329" max="13330" width="10.7109375" style="120" bestFit="1" customWidth="1"/>
    <col min="13331" max="13331" width="10.28515625" style="120" bestFit="1" customWidth="1"/>
    <col min="13332" max="13332" width="11.85546875" style="120" bestFit="1" customWidth="1"/>
    <col min="13333" max="13333" width="15.42578125" style="120" customWidth="1"/>
    <col min="13334" max="13566" width="9.140625" style="120"/>
    <col min="13567" max="13567" width="7" style="120" bestFit="1" customWidth="1"/>
    <col min="13568" max="13568" width="8.42578125" style="120" customWidth="1"/>
    <col min="13569" max="13569" width="5.28515625" style="120" bestFit="1" customWidth="1"/>
    <col min="13570" max="13570" width="58.140625" style="120" customWidth="1"/>
    <col min="13571" max="13571" width="0" style="120" hidden="1" customWidth="1"/>
    <col min="13572" max="13572" width="18.42578125" style="120" bestFit="1" customWidth="1"/>
    <col min="13573" max="13573" width="0" style="120" hidden="1" customWidth="1"/>
    <col min="13574" max="13574" width="18.42578125" style="120" customWidth="1"/>
    <col min="13575" max="13575" width="0" style="120" hidden="1" customWidth="1"/>
    <col min="13576" max="13576" width="9.140625" style="120"/>
    <col min="13577" max="13577" width="0" style="120" hidden="1" customWidth="1"/>
    <col min="13578" max="13581" width="15.140625" style="120" customWidth="1"/>
    <col min="13582" max="13584" width="0" style="120" hidden="1" customWidth="1"/>
    <col min="13585" max="13586" width="10.7109375" style="120" bestFit="1" customWidth="1"/>
    <col min="13587" max="13587" width="10.28515625" style="120" bestFit="1" customWidth="1"/>
    <col min="13588" max="13588" width="11.85546875" style="120" bestFit="1" customWidth="1"/>
    <col min="13589" max="13589" width="15.42578125" style="120" customWidth="1"/>
    <col min="13590" max="13822" width="9.140625" style="120"/>
    <col min="13823" max="13823" width="7" style="120" bestFit="1" customWidth="1"/>
    <col min="13824" max="13824" width="8.42578125" style="120" customWidth="1"/>
    <col min="13825" max="13825" width="5.28515625" style="120" bestFit="1" customWidth="1"/>
    <col min="13826" max="13826" width="58.140625" style="120" customWidth="1"/>
    <col min="13827" max="13827" width="0" style="120" hidden="1" customWidth="1"/>
    <col min="13828" max="13828" width="18.42578125" style="120" bestFit="1" customWidth="1"/>
    <col min="13829" max="13829" width="0" style="120" hidden="1" customWidth="1"/>
    <col min="13830" max="13830" width="18.42578125" style="120" customWidth="1"/>
    <col min="13831" max="13831" width="0" style="120" hidden="1" customWidth="1"/>
    <col min="13832" max="13832" width="9.140625" style="120"/>
    <col min="13833" max="13833" width="0" style="120" hidden="1" customWidth="1"/>
    <col min="13834" max="13837" width="15.140625" style="120" customWidth="1"/>
    <col min="13838" max="13840" width="0" style="120" hidden="1" customWidth="1"/>
    <col min="13841" max="13842" width="10.7109375" style="120" bestFit="1" customWidth="1"/>
    <col min="13843" max="13843" width="10.28515625" style="120" bestFit="1" customWidth="1"/>
    <col min="13844" max="13844" width="11.85546875" style="120" bestFit="1" customWidth="1"/>
    <col min="13845" max="13845" width="15.42578125" style="120" customWidth="1"/>
    <col min="13846" max="14078" width="9.140625" style="120"/>
    <col min="14079" max="14079" width="7" style="120" bestFit="1" customWidth="1"/>
    <col min="14080" max="14080" width="8.42578125" style="120" customWidth="1"/>
    <col min="14081" max="14081" width="5.28515625" style="120" bestFit="1" customWidth="1"/>
    <col min="14082" max="14082" width="58.140625" style="120" customWidth="1"/>
    <col min="14083" max="14083" width="0" style="120" hidden="1" customWidth="1"/>
    <col min="14084" max="14084" width="18.42578125" style="120" bestFit="1" customWidth="1"/>
    <col min="14085" max="14085" width="0" style="120" hidden="1" customWidth="1"/>
    <col min="14086" max="14086" width="18.42578125" style="120" customWidth="1"/>
    <col min="14087" max="14087" width="0" style="120" hidden="1" customWidth="1"/>
    <col min="14088" max="14088" width="9.140625" style="120"/>
    <col min="14089" max="14089" width="0" style="120" hidden="1" customWidth="1"/>
    <col min="14090" max="14093" width="15.140625" style="120" customWidth="1"/>
    <col min="14094" max="14096" width="0" style="120" hidden="1" customWidth="1"/>
    <col min="14097" max="14098" width="10.7109375" style="120" bestFit="1" customWidth="1"/>
    <col min="14099" max="14099" width="10.28515625" style="120" bestFit="1" customWidth="1"/>
    <col min="14100" max="14100" width="11.85546875" style="120" bestFit="1" customWidth="1"/>
    <col min="14101" max="14101" width="15.42578125" style="120" customWidth="1"/>
    <col min="14102" max="14334" width="9.140625" style="120"/>
    <col min="14335" max="14335" width="7" style="120" bestFit="1" customWidth="1"/>
    <col min="14336" max="14336" width="8.42578125" style="120" customWidth="1"/>
    <col min="14337" max="14337" width="5.28515625" style="120" bestFit="1" customWidth="1"/>
    <col min="14338" max="14338" width="58.140625" style="120" customWidth="1"/>
    <col min="14339" max="14339" width="0" style="120" hidden="1" customWidth="1"/>
    <col min="14340" max="14340" width="18.42578125" style="120" bestFit="1" customWidth="1"/>
    <col min="14341" max="14341" width="0" style="120" hidden="1" customWidth="1"/>
    <col min="14342" max="14342" width="18.42578125" style="120" customWidth="1"/>
    <col min="14343" max="14343" width="0" style="120" hidden="1" customWidth="1"/>
    <col min="14344" max="14344" width="9.140625" style="120"/>
    <col min="14345" max="14345" width="0" style="120" hidden="1" customWidth="1"/>
    <col min="14346" max="14349" width="15.140625" style="120" customWidth="1"/>
    <col min="14350" max="14352" width="0" style="120" hidden="1" customWidth="1"/>
    <col min="14353" max="14354" width="10.7109375" style="120" bestFit="1" customWidth="1"/>
    <col min="14355" max="14355" width="10.28515625" style="120" bestFit="1" customWidth="1"/>
    <col min="14356" max="14356" width="11.85546875" style="120" bestFit="1" customWidth="1"/>
    <col min="14357" max="14357" width="15.42578125" style="120" customWidth="1"/>
    <col min="14358" max="14590" width="9.140625" style="120"/>
    <col min="14591" max="14591" width="7" style="120" bestFit="1" customWidth="1"/>
    <col min="14592" max="14592" width="8.42578125" style="120" customWidth="1"/>
    <col min="14593" max="14593" width="5.28515625" style="120" bestFit="1" customWidth="1"/>
    <col min="14594" max="14594" width="58.140625" style="120" customWidth="1"/>
    <col min="14595" max="14595" width="0" style="120" hidden="1" customWidth="1"/>
    <col min="14596" max="14596" width="18.42578125" style="120" bestFit="1" customWidth="1"/>
    <col min="14597" max="14597" width="0" style="120" hidden="1" customWidth="1"/>
    <col min="14598" max="14598" width="18.42578125" style="120" customWidth="1"/>
    <col min="14599" max="14599" width="0" style="120" hidden="1" customWidth="1"/>
    <col min="14600" max="14600" width="9.140625" style="120"/>
    <col min="14601" max="14601" width="0" style="120" hidden="1" customWidth="1"/>
    <col min="14602" max="14605" width="15.140625" style="120" customWidth="1"/>
    <col min="14606" max="14608" width="0" style="120" hidden="1" customWidth="1"/>
    <col min="14609" max="14610" width="10.7109375" style="120" bestFit="1" customWidth="1"/>
    <col min="14611" max="14611" width="10.28515625" style="120" bestFit="1" customWidth="1"/>
    <col min="14612" max="14612" width="11.85546875" style="120" bestFit="1" customWidth="1"/>
    <col min="14613" max="14613" width="15.42578125" style="120" customWidth="1"/>
    <col min="14614" max="14846" width="9.140625" style="120"/>
    <col min="14847" max="14847" width="7" style="120" bestFit="1" customWidth="1"/>
    <col min="14848" max="14848" width="8.42578125" style="120" customWidth="1"/>
    <col min="14849" max="14849" width="5.28515625" style="120" bestFit="1" customWidth="1"/>
    <col min="14850" max="14850" width="58.140625" style="120" customWidth="1"/>
    <col min="14851" max="14851" width="0" style="120" hidden="1" customWidth="1"/>
    <col min="14852" max="14852" width="18.42578125" style="120" bestFit="1" customWidth="1"/>
    <col min="14853" max="14853" width="0" style="120" hidden="1" customWidth="1"/>
    <col min="14854" max="14854" width="18.42578125" style="120" customWidth="1"/>
    <col min="14855" max="14855" width="0" style="120" hidden="1" customWidth="1"/>
    <col min="14856" max="14856" width="9.140625" style="120"/>
    <col min="14857" max="14857" width="0" style="120" hidden="1" customWidth="1"/>
    <col min="14858" max="14861" width="15.140625" style="120" customWidth="1"/>
    <col min="14862" max="14864" width="0" style="120" hidden="1" customWidth="1"/>
    <col min="14865" max="14866" width="10.7109375" style="120" bestFit="1" customWidth="1"/>
    <col min="14867" max="14867" width="10.28515625" style="120" bestFit="1" customWidth="1"/>
    <col min="14868" max="14868" width="11.85546875" style="120" bestFit="1" customWidth="1"/>
    <col min="14869" max="14869" width="15.42578125" style="120" customWidth="1"/>
    <col min="14870" max="15102" width="9.140625" style="120"/>
    <col min="15103" max="15103" width="7" style="120" bestFit="1" customWidth="1"/>
    <col min="15104" max="15104" width="8.42578125" style="120" customWidth="1"/>
    <col min="15105" max="15105" width="5.28515625" style="120" bestFit="1" customWidth="1"/>
    <col min="15106" max="15106" width="58.140625" style="120" customWidth="1"/>
    <col min="15107" max="15107" width="0" style="120" hidden="1" customWidth="1"/>
    <col min="15108" max="15108" width="18.42578125" style="120" bestFit="1" customWidth="1"/>
    <col min="15109" max="15109" width="0" style="120" hidden="1" customWidth="1"/>
    <col min="15110" max="15110" width="18.42578125" style="120" customWidth="1"/>
    <col min="15111" max="15111" width="0" style="120" hidden="1" customWidth="1"/>
    <col min="15112" max="15112" width="9.140625" style="120"/>
    <col min="15113" max="15113" width="0" style="120" hidden="1" customWidth="1"/>
    <col min="15114" max="15117" width="15.140625" style="120" customWidth="1"/>
    <col min="15118" max="15120" width="0" style="120" hidden="1" customWidth="1"/>
    <col min="15121" max="15122" width="10.7109375" style="120" bestFit="1" customWidth="1"/>
    <col min="15123" max="15123" width="10.28515625" style="120" bestFit="1" customWidth="1"/>
    <col min="15124" max="15124" width="11.85546875" style="120" bestFit="1" customWidth="1"/>
    <col min="15125" max="15125" width="15.42578125" style="120" customWidth="1"/>
    <col min="15126" max="15358" width="9.140625" style="120"/>
    <col min="15359" max="15359" width="7" style="120" bestFit="1" customWidth="1"/>
    <col min="15360" max="15360" width="8.42578125" style="120" customWidth="1"/>
    <col min="15361" max="15361" width="5.28515625" style="120" bestFit="1" customWidth="1"/>
    <col min="15362" max="15362" width="58.140625" style="120" customWidth="1"/>
    <col min="15363" max="15363" width="0" style="120" hidden="1" customWidth="1"/>
    <col min="15364" max="15364" width="18.42578125" style="120" bestFit="1" customWidth="1"/>
    <col min="15365" max="15365" width="0" style="120" hidden="1" customWidth="1"/>
    <col min="15366" max="15366" width="18.42578125" style="120" customWidth="1"/>
    <col min="15367" max="15367" width="0" style="120" hidden="1" customWidth="1"/>
    <col min="15368" max="15368" width="9.140625" style="120"/>
    <col min="15369" max="15369" width="0" style="120" hidden="1" customWidth="1"/>
    <col min="15370" max="15373" width="15.140625" style="120" customWidth="1"/>
    <col min="15374" max="15376" width="0" style="120" hidden="1" customWidth="1"/>
    <col min="15377" max="15378" width="10.7109375" style="120" bestFit="1" customWidth="1"/>
    <col min="15379" max="15379" width="10.28515625" style="120" bestFit="1" customWidth="1"/>
    <col min="15380" max="15380" width="11.85546875" style="120" bestFit="1" customWidth="1"/>
    <col min="15381" max="15381" width="15.42578125" style="120" customWidth="1"/>
    <col min="15382" max="15614" width="9.140625" style="120"/>
    <col min="15615" max="15615" width="7" style="120" bestFit="1" customWidth="1"/>
    <col min="15616" max="15616" width="8.42578125" style="120" customWidth="1"/>
    <col min="15617" max="15617" width="5.28515625" style="120" bestFit="1" customWidth="1"/>
    <col min="15618" max="15618" width="58.140625" style="120" customWidth="1"/>
    <col min="15619" max="15619" width="0" style="120" hidden="1" customWidth="1"/>
    <col min="15620" max="15620" width="18.42578125" style="120" bestFit="1" customWidth="1"/>
    <col min="15621" max="15621" width="0" style="120" hidden="1" customWidth="1"/>
    <col min="15622" max="15622" width="18.42578125" style="120" customWidth="1"/>
    <col min="15623" max="15623" width="0" style="120" hidden="1" customWidth="1"/>
    <col min="15624" max="15624" width="9.140625" style="120"/>
    <col min="15625" max="15625" width="0" style="120" hidden="1" customWidth="1"/>
    <col min="15626" max="15629" width="15.140625" style="120" customWidth="1"/>
    <col min="15630" max="15632" width="0" style="120" hidden="1" customWidth="1"/>
    <col min="15633" max="15634" width="10.7109375" style="120" bestFit="1" customWidth="1"/>
    <col min="15635" max="15635" width="10.28515625" style="120" bestFit="1" customWidth="1"/>
    <col min="15636" max="15636" width="11.85546875" style="120" bestFit="1" customWidth="1"/>
    <col min="15637" max="15637" width="15.42578125" style="120" customWidth="1"/>
    <col min="15638" max="15870" width="9.140625" style="120"/>
    <col min="15871" max="15871" width="7" style="120" bestFit="1" customWidth="1"/>
    <col min="15872" max="15872" width="8.42578125" style="120" customWidth="1"/>
    <col min="15873" max="15873" width="5.28515625" style="120" bestFit="1" customWidth="1"/>
    <col min="15874" max="15874" width="58.140625" style="120" customWidth="1"/>
    <col min="15875" max="15875" width="0" style="120" hidden="1" customWidth="1"/>
    <col min="15876" max="15876" width="18.42578125" style="120" bestFit="1" customWidth="1"/>
    <col min="15877" max="15877" width="0" style="120" hidden="1" customWidth="1"/>
    <col min="15878" max="15878" width="18.42578125" style="120" customWidth="1"/>
    <col min="15879" max="15879" width="0" style="120" hidden="1" customWidth="1"/>
    <col min="15880" max="15880" width="9.140625" style="120"/>
    <col min="15881" max="15881" width="0" style="120" hidden="1" customWidth="1"/>
    <col min="15882" max="15885" width="15.140625" style="120" customWidth="1"/>
    <col min="15886" max="15888" width="0" style="120" hidden="1" customWidth="1"/>
    <col min="15889" max="15890" width="10.7109375" style="120" bestFit="1" customWidth="1"/>
    <col min="15891" max="15891" width="10.28515625" style="120" bestFit="1" customWidth="1"/>
    <col min="15892" max="15892" width="11.85546875" style="120" bestFit="1" customWidth="1"/>
    <col min="15893" max="15893" width="15.42578125" style="120" customWidth="1"/>
    <col min="15894" max="16126" width="9.140625" style="120"/>
    <col min="16127" max="16127" width="7" style="120" bestFit="1" customWidth="1"/>
    <col min="16128" max="16128" width="8.42578125" style="120" customWidth="1"/>
    <col min="16129" max="16129" width="5.28515625" style="120" bestFit="1" customWidth="1"/>
    <col min="16130" max="16130" width="58.140625" style="120" customWidth="1"/>
    <col min="16131" max="16131" width="0" style="120" hidden="1" customWidth="1"/>
    <col min="16132" max="16132" width="18.42578125" style="120" bestFit="1" customWidth="1"/>
    <col min="16133" max="16133" width="0" style="120" hidden="1" customWidth="1"/>
    <col min="16134" max="16134" width="18.42578125" style="120" customWidth="1"/>
    <col min="16135" max="16135" width="0" style="120" hidden="1" customWidth="1"/>
    <col min="16136" max="16136" width="9.140625" style="120"/>
    <col min="16137" max="16137" width="0" style="120" hidden="1" customWidth="1"/>
    <col min="16138" max="16141" width="15.140625" style="120" customWidth="1"/>
    <col min="16142" max="16144" width="0" style="120" hidden="1" customWidth="1"/>
    <col min="16145" max="16146" width="10.7109375" style="120" bestFit="1" customWidth="1"/>
    <col min="16147" max="16147" width="10.28515625" style="120" bestFit="1" customWidth="1"/>
    <col min="16148" max="16148" width="11.85546875" style="120" bestFit="1" customWidth="1"/>
    <col min="16149" max="16149" width="15.42578125" style="120" customWidth="1"/>
    <col min="16150" max="16384" width="9.140625" style="120"/>
  </cols>
  <sheetData>
    <row r="1" spans="1:16" ht="31.5" customHeight="1" x14ac:dyDescent="0.25">
      <c r="A1" s="596" t="s">
        <v>0</v>
      </c>
      <c r="B1" s="596"/>
      <c r="C1" s="596"/>
      <c r="D1" s="596"/>
      <c r="E1" s="596"/>
      <c r="F1" s="596"/>
      <c r="G1" s="596"/>
      <c r="H1" s="596"/>
      <c r="I1" s="596"/>
    </row>
    <row r="2" spans="1:16" ht="31.5" customHeight="1" x14ac:dyDescent="0.25">
      <c r="A2" s="596" t="s">
        <v>287</v>
      </c>
      <c r="B2" s="596"/>
      <c r="C2" s="596"/>
      <c r="D2" s="596"/>
      <c r="E2" s="596"/>
      <c r="F2" s="596"/>
      <c r="G2" s="596"/>
      <c r="H2" s="596"/>
      <c r="I2" s="596"/>
    </row>
    <row r="3" spans="1:16" ht="31.5" customHeight="1" x14ac:dyDescent="0.25">
      <c r="A3" s="596" t="s">
        <v>389</v>
      </c>
      <c r="B3" s="596"/>
      <c r="C3" s="596"/>
      <c r="D3" s="596"/>
      <c r="E3" s="596"/>
      <c r="F3" s="596"/>
      <c r="G3" s="596"/>
      <c r="H3" s="596"/>
      <c r="I3" s="596"/>
    </row>
    <row r="4" spans="1:16" s="121" customFormat="1" x14ac:dyDescent="0.25">
      <c r="A4" s="226"/>
      <c r="B4" s="222"/>
      <c r="C4" s="222"/>
      <c r="D4" s="222"/>
      <c r="E4" s="222"/>
      <c r="F4" s="222"/>
      <c r="G4" s="227"/>
      <c r="H4" s="222"/>
      <c r="I4" s="222"/>
      <c r="J4" s="120"/>
      <c r="K4" s="120"/>
      <c r="L4" s="120"/>
      <c r="M4" s="120"/>
      <c r="N4" s="120"/>
      <c r="O4" s="120"/>
      <c r="P4" s="120"/>
    </row>
    <row r="5" spans="1:16" s="139" customFormat="1" ht="15.75" customHeight="1" x14ac:dyDescent="0.25">
      <c r="A5" s="590" t="s">
        <v>83</v>
      </c>
      <c r="B5" s="591"/>
      <c r="C5" s="591"/>
      <c r="D5" s="591"/>
      <c r="E5" s="591"/>
      <c r="F5" s="591"/>
      <c r="G5" s="591"/>
      <c r="H5" s="591"/>
      <c r="I5" s="591"/>
      <c r="J5" s="138"/>
      <c r="K5" s="138"/>
      <c r="L5" s="138"/>
      <c r="M5" s="138"/>
      <c r="N5" s="138"/>
      <c r="O5" s="138"/>
      <c r="P5" s="138"/>
    </row>
    <row r="6" spans="1:16" s="121" customFormat="1" ht="63" x14ac:dyDescent="0.25">
      <c r="A6" s="127" t="s">
        <v>3</v>
      </c>
      <c r="B6" s="127" t="s">
        <v>4</v>
      </c>
      <c r="C6" s="128" t="s">
        <v>5</v>
      </c>
      <c r="D6" s="129" t="s">
        <v>6</v>
      </c>
      <c r="E6" s="127" t="s">
        <v>567</v>
      </c>
      <c r="F6" s="127" t="s">
        <v>571</v>
      </c>
      <c r="G6" s="344" t="s">
        <v>569</v>
      </c>
      <c r="H6" s="116" t="s">
        <v>570</v>
      </c>
      <c r="I6" s="117" t="s">
        <v>568</v>
      </c>
      <c r="J6" s="348"/>
      <c r="K6" s="120"/>
      <c r="L6" s="120"/>
      <c r="M6" s="120"/>
      <c r="N6" s="120"/>
      <c r="O6" s="120"/>
      <c r="P6" s="120"/>
    </row>
    <row r="7" spans="1:16" s="121" customFormat="1" x14ac:dyDescent="0.25">
      <c r="A7" s="592">
        <v>1</v>
      </c>
      <c r="B7" s="592"/>
      <c r="C7" s="592"/>
      <c r="D7" s="592"/>
      <c r="E7" s="131"/>
      <c r="F7" s="131"/>
      <c r="G7" s="349">
        <v>2</v>
      </c>
      <c r="H7" s="133">
        <v>3</v>
      </c>
      <c r="I7" s="133">
        <v>4</v>
      </c>
      <c r="J7" s="120"/>
      <c r="K7" s="120"/>
      <c r="L7" s="120"/>
      <c r="M7" s="120"/>
      <c r="N7" s="120"/>
      <c r="O7" s="120"/>
      <c r="P7" s="120"/>
    </row>
    <row r="8" spans="1:16" s="121" customFormat="1" x14ac:dyDescent="0.25">
      <c r="A8" s="350">
        <v>3</v>
      </c>
      <c r="B8" s="350"/>
      <c r="C8" s="350"/>
      <c r="D8" s="231" t="s">
        <v>88</v>
      </c>
      <c r="E8" s="351">
        <f>E11+E181+E75+E367+E448+E474</f>
        <v>5084825.8800000008</v>
      </c>
      <c r="F8" s="351">
        <f t="shared" ref="F8:I8" si="0">F11+F181+F75+F367+F448+F474</f>
        <v>4244329.6000000006</v>
      </c>
      <c r="G8" s="351">
        <f>G11+G181+G75+G367+G448+G474</f>
        <v>5323849.9499999993</v>
      </c>
      <c r="H8" s="351">
        <f t="shared" si="0"/>
        <v>5396761.3099999996</v>
      </c>
      <c r="I8" s="351">
        <f t="shared" si="0"/>
        <v>5438063.0499999998</v>
      </c>
      <c r="J8" s="352"/>
      <c r="K8" s="352"/>
      <c r="L8" s="120"/>
      <c r="M8" s="120"/>
      <c r="N8" s="120"/>
      <c r="O8" s="120"/>
      <c r="P8" s="120"/>
    </row>
    <row r="9" spans="1:16" s="121" customFormat="1" x14ac:dyDescent="0.25">
      <c r="A9" s="350">
        <v>4</v>
      </c>
      <c r="B9" s="350"/>
      <c r="C9" s="350"/>
      <c r="D9" s="353" t="s">
        <v>175</v>
      </c>
      <c r="E9" s="351">
        <f t="shared" ref="E9" si="1">E58+E332+E159+E416+E443+E462+E483</f>
        <v>846874.29</v>
      </c>
      <c r="F9" s="351">
        <f t="shared" ref="F9:I9" si="2">F58+F332+F159+F416+F443+F462+F483</f>
        <v>369702.17000000004</v>
      </c>
      <c r="G9" s="351">
        <f t="shared" si="2"/>
        <v>350648.28</v>
      </c>
      <c r="H9" s="351">
        <f t="shared" si="2"/>
        <v>353598.28</v>
      </c>
      <c r="I9" s="351">
        <f t="shared" si="2"/>
        <v>356548.28</v>
      </c>
      <c r="J9" s="352"/>
      <c r="K9" s="120"/>
      <c r="L9" s="120"/>
      <c r="M9" s="120"/>
      <c r="N9" s="120"/>
      <c r="O9" s="120"/>
      <c r="P9" s="120"/>
    </row>
    <row r="10" spans="1:16" s="121" customFormat="1" x14ac:dyDescent="0.25">
      <c r="A10" s="354"/>
      <c r="B10" s="354"/>
      <c r="C10" s="354"/>
      <c r="D10" s="355" t="s">
        <v>316</v>
      </c>
      <c r="E10" s="356"/>
      <c r="F10" s="356"/>
      <c r="G10" s="356"/>
      <c r="H10" s="356"/>
      <c r="I10" s="356"/>
      <c r="J10" s="352"/>
      <c r="K10" s="120"/>
      <c r="L10" s="120"/>
      <c r="M10" s="120"/>
      <c r="N10" s="120"/>
      <c r="O10" s="120"/>
      <c r="P10" s="120"/>
    </row>
    <row r="11" spans="1:16" s="121" customFormat="1" x14ac:dyDescent="0.25">
      <c r="A11" s="229" t="s">
        <v>87</v>
      </c>
      <c r="B11" s="229"/>
      <c r="C11" s="230"/>
      <c r="D11" s="231" t="s">
        <v>88</v>
      </c>
      <c r="E11" s="232">
        <f t="shared" ref="E11:I11" si="3">E12+E19</f>
        <v>141650.91999999998</v>
      </c>
      <c r="F11" s="232">
        <f t="shared" si="3"/>
        <v>352264.02</v>
      </c>
      <c r="G11" s="232">
        <f t="shared" si="3"/>
        <v>92988.02</v>
      </c>
      <c r="H11" s="232">
        <f t="shared" si="3"/>
        <v>92988.02</v>
      </c>
      <c r="I11" s="232">
        <f t="shared" si="3"/>
        <v>92988.02</v>
      </c>
      <c r="J11" s="120"/>
      <c r="K11" s="120"/>
      <c r="L11" s="120"/>
      <c r="M11" s="120"/>
      <c r="N11" s="120"/>
      <c r="O11" s="120"/>
      <c r="P11" s="120"/>
    </row>
    <row r="12" spans="1:16" s="121" customFormat="1" x14ac:dyDescent="0.25">
      <c r="A12" s="202"/>
      <c r="B12" s="141">
        <v>31</v>
      </c>
      <c r="C12" s="215"/>
      <c r="D12" s="233" t="s">
        <v>89</v>
      </c>
      <c r="E12" s="144">
        <f t="shared" ref="E12:I12" si="4">E13+E16</f>
        <v>10163.299999999999</v>
      </c>
      <c r="F12" s="144">
        <f t="shared" si="4"/>
        <v>46978.01999999999</v>
      </c>
      <c r="G12" s="144">
        <f t="shared" si="4"/>
        <v>6978.0199999999995</v>
      </c>
      <c r="H12" s="144">
        <f t="shared" si="4"/>
        <v>6978.0199999999995</v>
      </c>
      <c r="I12" s="144">
        <f t="shared" si="4"/>
        <v>6978.0199999999995</v>
      </c>
      <c r="J12" s="120"/>
      <c r="K12" s="120"/>
      <c r="L12" s="120"/>
      <c r="M12" s="120"/>
      <c r="N12" s="120"/>
      <c r="O12" s="120"/>
      <c r="P12" s="120"/>
    </row>
    <row r="13" spans="1:16" s="139" customFormat="1" x14ac:dyDescent="0.25">
      <c r="A13" s="202"/>
      <c r="B13" s="162">
        <v>311</v>
      </c>
      <c r="C13" s="234"/>
      <c r="D13" s="202" t="s">
        <v>90</v>
      </c>
      <c r="E13" s="165">
        <f t="shared" ref="E13:I14" si="5">SUM(E14)</f>
        <v>8723.8799999999992</v>
      </c>
      <c r="F13" s="165">
        <f t="shared" si="5"/>
        <v>5989.73</v>
      </c>
      <c r="G13" s="165">
        <f t="shared" si="5"/>
        <v>5989.73</v>
      </c>
      <c r="H13" s="165">
        <f t="shared" si="5"/>
        <v>5989.73</v>
      </c>
      <c r="I13" s="165">
        <f t="shared" si="5"/>
        <v>5989.73</v>
      </c>
      <c r="J13" s="138"/>
      <c r="K13" s="138"/>
      <c r="L13" s="138"/>
      <c r="M13" s="138"/>
      <c r="N13" s="138"/>
      <c r="O13" s="138"/>
      <c r="P13" s="138"/>
    </row>
    <row r="14" spans="1:16" s="139" customFormat="1" x14ac:dyDescent="0.25">
      <c r="A14" s="202"/>
      <c r="B14" s="162">
        <v>3111</v>
      </c>
      <c r="C14" s="202"/>
      <c r="D14" s="202" t="s">
        <v>91</v>
      </c>
      <c r="E14" s="165">
        <f t="shared" si="5"/>
        <v>8723.8799999999992</v>
      </c>
      <c r="F14" s="165">
        <f t="shared" si="5"/>
        <v>5989.73</v>
      </c>
      <c r="G14" s="165">
        <f t="shared" si="5"/>
        <v>5989.73</v>
      </c>
      <c r="H14" s="165">
        <f t="shared" si="5"/>
        <v>5989.73</v>
      </c>
      <c r="I14" s="165">
        <f t="shared" si="5"/>
        <v>5989.73</v>
      </c>
      <c r="J14" s="138"/>
      <c r="K14" s="138"/>
      <c r="L14" s="138"/>
      <c r="M14" s="138"/>
      <c r="N14" s="138"/>
      <c r="O14" s="138"/>
      <c r="P14" s="138"/>
    </row>
    <row r="15" spans="1:16" s="237" customFormat="1" x14ac:dyDescent="0.25">
      <c r="A15" s="234"/>
      <c r="B15" s="235" t="s">
        <v>494</v>
      </c>
      <c r="C15" s="234"/>
      <c r="D15" s="234" t="s">
        <v>91</v>
      </c>
      <c r="E15" s="173">
        <f>'Rekapitulacija Posebni dio'!C496+'Rekapitulacija Posebni dio'!C515+'Rekapitulacija Posebni dio'!C534</f>
        <v>8723.8799999999992</v>
      </c>
      <c r="F15" s="173">
        <f>'Rekapitulacija Posebni dio'!D496+'Rekapitulacija Posebni dio'!D515+'Rekapitulacija Posebni dio'!D534</f>
        <v>5989.73</v>
      </c>
      <c r="G15" s="173">
        <f>'Rekapitulacija Posebni dio'!E496+'Rekapitulacija Posebni dio'!E515+'Rekapitulacija Posebni dio'!E534</f>
        <v>5989.73</v>
      </c>
      <c r="H15" s="173">
        <f>'Rekapitulacija Posebni dio'!F496+'Rekapitulacija Posebni dio'!F515+'Rekapitulacija Posebni dio'!F534</f>
        <v>5989.73</v>
      </c>
      <c r="I15" s="173">
        <f>'Rekapitulacija Posebni dio'!G496+'Rekapitulacija Posebni dio'!G515+'Rekapitulacija Posebni dio'!G534</f>
        <v>5989.73</v>
      </c>
      <c r="J15" s="236"/>
      <c r="K15" s="236"/>
      <c r="L15" s="236"/>
      <c r="M15" s="236"/>
      <c r="N15" s="236"/>
      <c r="O15" s="236"/>
      <c r="P15" s="236"/>
    </row>
    <row r="16" spans="1:16" s="237" customFormat="1" x14ac:dyDescent="0.25">
      <c r="A16" s="202"/>
      <c r="B16" s="166">
        <v>313</v>
      </c>
      <c r="C16" s="202"/>
      <c r="D16" s="202" t="s">
        <v>101</v>
      </c>
      <c r="E16" s="240">
        <f t="shared" ref="E16:I17" si="6">SUM(E17)</f>
        <v>1439.4199999999998</v>
      </c>
      <c r="F16" s="240">
        <f t="shared" si="6"/>
        <v>40988.289999999994</v>
      </c>
      <c r="G16" s="240">
        <f t="shared" si="6"/>
        <v>988.29</v>
      </c>
      <c r="H16" s="240">
        <f t="shared" si="6"/>
        <v>988.29</v>
      </c>
      <c r="I16" s="240">
        <f t="shared" si="6"/>
        <v>988.29</v>
      </c>
      <c r="J16" s="236"/>
      <c r="K16" s="236"/>
      <c r="L16" s="236"/>
      <c r="M16" s="236"/>
      <c r="N16" s="236"/>
      <c r="O16" s="236"/>
      <c r="P16" s="236"/>
    </row>
    <row r="17" spans="1:16" s="237" customFormat="1" x14ac:dyDescent="0.25">
      <c r="A17" s="202"/>
      <c r="B17" s="166">
        <v>3132</v>
      </c>
      <c r="C17" s="202"/>
      <c r="D17" s="202" t="s">
        <v>102</v>
      </c>
      <c r="E17" s="240">
        <f t="shared" si="6"/>
        <v>1439.4199999999998</v>
      </c>
      <c r="F17" s="240">
        <f t="shared" si="6"/>
        <v>40988.289999999994</v>
      </c>
      <c r="G17" s="240">
        <f t="shared" si="6"/>
        <v>988.29</v>
      </c>
      <c r="H17" s="240">
        <f t="shared" si="6"/>
        <v>988.29</v>
      </c>
      <c r="I17" s="240">
        <f t="shared" si="6"/>
        <v>988.29</v>
      </c>
      <c r="J17" s="236"/>
      <c r="K17" s="236"/>
      <c r="L17" s="236"/>
      <c r="M17" s="236"/>
      <c r="N17" s="236"/>
      <c r="O17" s="236"/>
      <c r="P17" s="236"/>
    </row>
    <row r="18" spans="1:16" s="121" customFormat="1" x14ac:dyDescent="0.25">
      <c r="A18" s="234"/>
      <c r="B18" s="170" t="s">
        <v>504</v>
      </c>
      <c r="C18" s="234"/>
      <c r="D18" s="234" t="s">
        <v>102</v>
      </c>
      <c r="E18" s="173">
        <f>'Rekapitulacija Posebni dio'!C381+'Rekapitulacija Posebni dio'!C501+'Rekapitulacija Posebni dio'!C520+'Rekapitulacija Posebni dio'!C539</f>
        <v>1439.4199999999998</v>
      </c>
      <c r="F18" s="173">
        <f>'Rekapitulacija Posebni dio'!D381+'Rekapitulacija Posebni dio'!D501+'Rekapitulacija Posebni dio'!D520+'Rekapitulacija Posebni dio'!D539</f>
        <v>40988.289999999994</v>
      </c>
      <c r="G18" s="173">
        <f>'Rekapitulacija Posebni dio'!E381+'Rekapitulacija Posebni dio'!E501+'Rekapitulacija Posebni dio'!E520+'Rekapitulacija Posebni dio'!E539</f>
        <v>988.29</v>
      </c>
      <c r="H18" s="173">
        <f>'Rekapitulacija Posebni dio'!F381+'Rekapitulacija Posebni dio'!F501+'Rekapitulacija Posebni dio'!F520+'Rekapitulacija Posebni dio'!F539</f>
        <v>988.29</v>
      </c>
      <c r="I18" s="173">
        <f>'Rekapitulacija Posebni dio'!G381+'Rekapitulacija Posebni dio'!G501+'Rekapitulacija Posebni dio'!G520+'Rekapitulacija Posebni dio'!G539</f>
        <v>988.29</v>
      </c>
      <c r="J18" s="120"/>
      <c r="K18" s="120"/>
      <c r="L18" s="120"/>
      <c r="M18" s="120"/>
      <c r="N18" s="120"/>
      <c r="O18" s="120"/>
      <c r="P18" s="120"/>
    </row>
    <row r="19" spans="1:16" s="121" customFormat="1" x14ac:dyDescent="0.25">
      <c r="A19" s="202"/>
      <c r="B19" s="141">
        <v>32</v>
      </c>
      <c r="C19" s="215"/>
      <c r="D19" s="233" t="s">
        <v>103</v>
      </c>
      <c r="E19" s="144">
        <f>E20+E31+E47+E51</f>
        <v>131487.62</v>
      </c>
      <c r="F19" s="144">
        <f t="shared" ref="F19:I19" si="7">F20+F31+F47+F51</f>
        <v>305286</v>
      </c>
      <c r="G19" s="144">
        <f t="shared" si="7"/>
        <v>86010</v>
      </c>
      <c r="H19" s="144">
        <f t="shared" si="7"/>
        <v>86010</v>
      </c>
      <c r="I19" s="144">
        <f t="shared" si="7"/>
        <v>86010</v>
      </c>
      <c r="J19" s="120"/>
      <c r="K19" s="120"/>
      <c r="L19" s="120"/>
      <c r="M19" s="120"/>
      <c r="N19" s="120"/>
      <c r="O19" s="120"/>
      <c r="P19" s="120"/>
    </row>
    <row r="20" spans="1:16" s="121" customFormat="1" x14ac:dyDescent="0.25">
      <c r="A20" s="202"/>
      <c r="B20" s="162" t="s">
        <v>113</v>
      </c>
      <c r="C20" s="202"/>
      <c r="D20" s="256" t="s">
        <v>114</v>
      </c>
      <c r="E20" s="165">
        <f>E21+E24+E26+E29</f>
        <v>20672.780000000002</v>
      </c>
      <c r="F20" s="165">
        <f t="shared" ref="F20:I20" si="8">F21+F24+F26+F29</f>
        <v>4000</v>
      </c>
      <c r="G20" s="165">
        <f t="shared" si="8"/>
        <v>0</v>
      </c>
      <c r="H20" s="165">
        <f t="shared" si="8"/>
        <v>0</v>
      </c>
      <c r="I20" s="165">
        <f t="shared" si="8"/>
        <v>0</v>
      </c>
      <c r="J20" s="120"/>
      <c r="K20" s="120"/>
      <c r="L20" s="120"/>
      <c r="M20" s="120"/>
      <c r="N20" s="120"/>
      <c r="O20" s="120"/>
      <c r="P20" s="120"/>
    </row>
    <row r="21" spans="1:16" s="121" customFormat="1" x14ac:dyDescent="0.25">
      <c r="A21" s="202"/>
      <c r="B21" s="162" t="s">
        <v>115</v>
      </c>
      <c r="C21" s="202"/>
      <c r="D21" s="256" t="s">
        <v>116</v>
      </c>
      <c r="E21" s="165">
        <f>E22+E23</f>
        <v>1543.88</v>
      </c>
      <c r="F21" s="165">
        <f t="shared" ref="F21:I21" si="9">F22+F23</f>
        <v>4000</v>
      </c>
      <c r="G21" s="165">
        <f t="shared" si="9"/>
        <v>0</v>
      </c>
      <c r="H21" s="165">
        <f t="shared" si="9"/>
        <v>0</v>
      </c>
      <c r="I21" s="165">
        <f t="shared" si="9"/>
        <v>0</v>
      </c>
      <c r="J21" s="120"/>
      <c r="K21" s="120"/>
      <c r="L21" s="120"/>
      <c r="M21" s="120"/>
      <c r="N21" s="120"/>
      <c r="O21" s="120"/>
      <c r="P21" s="120"/>
    </row>
    <row r="22" spans="1:16" s="121" customFormat="1" x14ac:dyDescent="0.25">
      <c r="A22" s="202"/>
      <c r="B22" s="235" t="s">
        <v>526</v>
      </c>
      <c r="C22" s="234"/>
      <c r="D22" s="257" t="s">
        <v>423</v>
      </c>
      <c r="E22" s="173">
        <f>'Rekapitulacija Posebni dio'!C400</f>
        <v>1228.8800000000001</v>
      </c>
      <c r="F22" s="173">
        <f>'Rekapitulacija Posebni dio'!D400</f>
        <v>2000</v>
      </c>
      <c r="G22" s="173">
        <f>'Rekapitulacija Posebni dio'!E400</f>
        <v>0</v>
      </c>
      <c r="H22" s="173">
        <f>'Rekapitulacija Posebni dio'!F400</f>
        <v>0</v>
      </c>
      <c r="I22" s="173">
        <f>'Rekapitulacija Posebni dio'!G400</f>
        <v>0</v>
      </c>
      <c r="J22" s="120"/>
      <c r="K22" s="120"/>
      <c r="L22" s="120"/>
      <c r="M22" s="120"/>
      <c r="N22" s="120"/>
      <c r="O22" s="120"/>
      <c r="P22" s="120"/>
    </row>
    <row r="23" spans="1:16" s="121" customFormat="1" x14ac:dyDescent="0.25">
      <c r="A23" s="202"/>
      <c r="B23" s="235" t="s">
        <v>546</v>
      </c>
      <c r="C23" s="234"/>
      <c r="D23" s="257" t="s">
        <v>582</v>
      </c>
      <c r="E23" s="173">
        <f>'Rekapitulacija Posebni dio'!C401</f>
        <v>315</v>
      </c>
      <c r="F23" s="173">
        <f>'Rekapitulacija Posebni dio'!D401</f>
        <v>2000</v>
      </c>
      <c r="G23" s="173">
        <f>'Rekapitulacija Posebni dio'!E401</f>
        <v>0</v>
      </c>
      <c r="H23" s="173">
        <f>'Rekapitulacija Posebni dio'!F401</f>
        <v>0</v>
      </c>
      <c r="I23" s="173">
        <f>'Rekapitulacija Posebni dio'!G401</f>
        <v>0</v>
      </c>
      <c r="J23" s="120"/>
      <c r="K23" s="120"/>
      <c r="L23" s="120"/>
      <c r="M23" s="120"/>
      <c r="N23" s="120"/>
      <c r="O23" s="120"/>
      <c r="P23" s="120"/>
    </row>
    <row r="24" spans="1:16" s="139" customFormat="1" x14ac:dyDescent="0.25">
      <c r="A24" s="202"/>
      <c r="B24" s="162" t="s">
        <v>117</v>
      </c>
      <c r="C24" s="202"/>
      <c r="D24" s="256" t="s">
        <v>118</v>
      </c>
      <c r="E24" s="165">
        <f>E25</f>
        <v>12071.02</v>
      </c>
      <c r="F24" s="165">
        <f t="shared" ref="F24:I24" si="10">F25</f>
        <v>0</v>
      </c>
      <c r="G24" s="165">
        <f t="shared" si="10"/>
        <v>0</v>
      </c>
      <c r="H24" s="165">
        <f t="shared" si="10"/>
        <v>0</v>
      </c>
      <c r="I24" s="165">
        <f t="shared" si="10"/>
        <v>0</v>
      </c>
      <c r="J24" s="138"/>
      <c r="K24" s="138"/>
      <c r="L24" s="138"/>
      <c r="M24" s="138"/>
      <c r="N24" s="138"/>
      <c r="O24" s="138"/>
      <c r="P24" s="138"/>
    </row>
    <row r="25" spans="1:16" s="121" customFormat="1" x14ac:dyDescent="0.25">
      <c r="A25" s="202"/>
      <c r="B25" s="235" t="s">
        <v>507</v>
      </c>
      <c r="C25" s="234"/>
      <c r="D25" s="257" t="s">
        <v>428</v>
      </c>
      <c r="E25" s="173">
        <f>'Rekapitulacija Posebni dio'!C403</f>
        <v>12071.02</v>
      </c>
      <c r="F25" s="173">
        <f>'Rekapitulacija Posebni dio'!D403</f>
        <v>0</v>
      </c>
      <c r="G25" s="173">
        <f>'Rekapitulacija Posebni dio'!E403</f>
        <v>0</v>
      </c>
      <c r="H25" s="173">
        <f>'Rekapitulacija Posebni dio'!F403</f>
        <v>0</v>
      </c>
      <c r="I25" s="173">
        <f>'Rekapitulacija Posebni dio'!G403</f>
        <v>0</v>
      </c>
      <c r="J25" s="120"/>
      <c r="K25" s="120"/>
      <c r="L25" s="120"/>
      <c r="M25" s="120"/>
      <c r="N25" s="120"/>
      <c r="O25" s="120"/>
      <c r="P25" s="120"/>
    </row>
    <row r="26" spans="1:16" s="139" customFormat="1" x14ac:dyDescent="0.25">
      <c r="A26" s="202"/>
      <c r="B26" s="162" t="s">
        <v>119</v>
      </c>
      <c r="C26" s="202"/>
      <c r="D26" s="256" t="s">
        <v>120</v>
      </c>
      <c r="E26" s="165">
        <f>E27+E28</f>
        <v>3057.8799999999997</v>
      </c>
      <c r="F26" s="165">
        <f t="shared" ref="F26:I26" si="11">F27+F28</f>
        <v>0</v>
      </c>
      <c r="G26" s="165">
        <f t="shared" si="11"/>
        <v>0</v>
      </c>
      <c r="H26" s="165">
        <f t="shared" si="11"/>
        <v>0</v>
      </c>
      <c r="I26" s="165">
        <f t="shared" si="11"/>
        <v>0</v>
      </c>
      <c r="J26" s="138"/>
      <c r="K26" s="138"/>
      <c r="L26" s="138"/>
      <c r="M26" s="138"/>
      <c r="N26" s="138"/>
      <c r="O26" s="138"/>
      <c r="P26" s="138"/>
    </row>
    <row r="27" spans="1:16" s="121" customFormat="1" x14ac:dyDescent="0.25">
      <c r="A27" s="202"/>
      <c r="B27" s="235" t="s">
        <v>510</v>
      </c>
      <c r="C27" s="234"/>
      <c r="D27" s="257" t="s">
        <v>432</v>
      </c>
      <c r="E27" s="173">
        <f>'Rekapitulacija Posebni dio'!C405</f>
        <v>2416.9899999999998</v>
      </c>
      <c r="F27" s="173">
        <f>'Rekapitulacija Posebni dio'!D405</f>
        <v>0</v>
      </c>
      <c r="G27" s="173">
        <f>'Rekapitulacija Posebni dio'!E405</f>
        <v>0</v>
      </c>
      <c r="H27" s="173">
        <f>'Rekapitulacija Posebni dio'!F405</f>
        <v>0</v>
      </c>
      <c r="I27" s="173">
        <f>'Rekapitulacija Posebni dio'!G405</f>
        <v>0</v>
      </c>
      <c r="J27" s="120"/>
      <c r="K27" s="120"/>
      <c r="L27" s="120"/>
      <c r="M27" s="120"/>
      <c r="N27" s="120"/>
      <c r="O27" s="120"/>
      <c r="P27" s="120"/>
    </row>
    <row r="28" spans="1:16" s="121" customFormat="1" x14ac:dyDescent="0.25">
      <c r="A28" s="202"/>
      <c r="B28" s="235" t="s">
        <v>512</v>
      </c>
      <c r="C28" s="234"/>
      <c r="D28" s="257" t="s">
        <v>434</v>
      </c>
      <c r="E28" s="173">
        <f>'Rekapitulacija Posebni dio'!C406</f>
        <v>640.89</v>
      </c>
      <c r="F28" s="173">
        <f>'Rekapitulacija Posebni dio'!D406</f>
        <v>0</v>
      </c>
      <c r="G28" s="173">
        <f>'Rekapitulacija Posebni dio'!E406</f>
        <v>0</v>
      </c>
      <c r="H28" s="173">
        <f>'Rekapitulacija Posebni dio'!F406</f>
        <v>0</v>
      </c>
      <c r="I28" s="173">
        <f>'Rekapitulacija Posebni dio'!G406</f>
        <v>0</v>
      </c>
      <c r="J28" s="120"/>
      <c r="K28" s="120"/>
      <c r="L28" s="120"/>
      <c r="M28" s="120"/>
      <c r="N28" s="120"/>
      <c r="O28" s="120"/>
      <c r="P28" s="120"/>
    </row>
    <row r="29" spans="1:16" s="121" customFormat="1" x14ac:dyDescent="0.25">
      <c r="A29" s="202"/>
      <c r="B29" s="162" t="s">
        <v>121</v>
      </c>
      <c r="C29" s="202"/>
      <c r="D29" s="246" t="s">
        <v>122</v>
      </c>
      <c r="E29" s="165">
        <f>E30</f>
        <v>4000</v>
      </c>
      <c r="F29" s="165">
        <f t="shared" ref="F29:I29" si="12">F30</f>
        <v>0</v>
      </c>
      <c r="G29" s="165">
        <f t="shared" si="12"/>
        <v>0</v>
      </c>
      <c r="H29" s="165">
        <f t="shared" si="12"/>
        <v>0</v>
      </c>
      <c r="I29" s="165">
        <f t="shared" si="12"/>
        <v>0</v>
      </c>
      <c r="J29" s="120"/>
      <c r="K29" s="120"/>
      <c r="L29" s="120"/>
      <c r="M29" s="120"/>
      <c r="N29" s="120"/>
      <c r="O29" s="120"/>
      <c r="P29" s="120"/>
    </row>
    <row r="30" spans="1:16" s="121" customFormat="1" x14ac:dyDescent="0.25">
      <c r="A30" s="202"/>
      <c r="B30" s="235" t="s">
        <v>550</v>
      </c>
      <c r="C30" s="202"/>
      <c r="D30" s="357" t="s">
        <v>435</v>
      </c>
      <c r="E30" s="173">
        <f>'Rekapitulacija Posebni dio'!C464</f>
        <v>4000</v>
      </c>
      <c r="F30" s="173">
        <f>'Rekapitulacija Posebni dio'!D464</f>
        <v>0</v>
      </c>
      <c r="G30" s="173">
        <f>'Rekapitulacija Posebni dio'!E464</f>
        <v>0</v>
      </c>
      <c r="H30" s="173">
        <f>'Rekapitulacija Posebni dio'!F464</f>
        <v>0</v>
      </c>
      <c r="I30" s="173">
        <f>'Rekapitulacija Posebni dio'!G464</f>
        <v>0</v>
      </c>
      <c r="J30" s="120"/>
      <c r="K30" s="120"/>
      <c r="L30" s="120"/>
      <c r="M30" s="120"/>
      <c r="N30" s="120"/>
      <c r="O30" s="120"/>
      <c r="P30" s="120"/>
    </row>
    <row r="31" spans="1:16" s="139" customFormat="1" x14ac:dyDescent="0.25">
      <c r="A31" s="202"/>
      <c r="B31" s="162" t="s">
        <v>127</v>
      </c>
      <c r="C31" s="202"/>
      <c r="D31" s="246" t="s">
        <v>128</v>
      </c>
      <c r="E31" s="165">
        <f>E32+E34+E38+E40+E42+E44</f>
        <v>109496.94</v>
      </c>
      <c r="F31" s="165">
        <f t="shared" ref="F31:I31" si="13">F32+F34+F38+F40+F42+F44</f>
        <v>125286</v>
      </c>
      <c r="G31" s="165">
        <f t="shared" si="13"/>
        <v>86010</v>
      </c>
      <c r="H31" s="165">
        <f t="shared" si="13"/>
        <v>86010</v>
      </c>
      <c r="I31" s="165">
        <f t="shared" si="13"/>
        <v>86010</v>
      </c>
      <c r="J31" s="138"/>
      <c r="K31" s="138"/>
      <c r="L31" s="138"/>
      <c r="M31" s="138"/>
      <c r="N31" s="138"/>
      <c r="O31" s="138"/>
      <c r="P31" s="138"/>
    </row>
    <row r="32" spans="1:16" s="139" customFormat="1" x14ac:dyDescent="0.25">
      <c r="A32" s="202"/>
      <c r="B32" s="162" t="s">
        <v>129</v>
      </c>
      <c r="C32" s="202"/>
      <c r="D32" s="359" t="s">
        <v>130</v>
      </c>
      <c r="E32" s="165">
        <f>E33</f>
        <v>0</v>
      </c>
      <c r="F32" s="165">
        <f t="shared" ref="F32:I32" si="14">F33</f>
        <v>3000</v>
      </c>
      <c r="G32" s="165">
        <f t="shared" si="14"/>
        <v>0</v>
      </c>
      <c r="H32" s="165">
        <f t="shared" si="14"/>
        <v>0</v>
      </c>
      <c r="I32" s="165">
        <f t="shared" si="14"/>
        <v>0</v>
      </c>
      <c r="J32" s="138"/>
      <c r="K32" s="138"/>
      <c r="L32" s="138"/>
      <c r="M32" s="138"/>
      <c r="N32" s="138"/>
      <c r="O32" s="138"/>
      <c r="P32" s="138"/>
    </row>
    <row r="33" spans="1:16" s="121" customFormat="1" x14ac:dyDescent="0.25">
      <c r="A33" s="234"/>
      <c r="B33" s="235" t="s">
        <v>516</v>
      </c>
      <c r="C33" s="234"/>
      <c r="D33" s="358" t="s">
        <v>439</v>
      </c>
      <c r="E33" s="173">
        <f>'Rekapitulacija Posebni dio'!C409</f>
        <v>0</v>
      </c>
      <c r="F33" s="173">
        <f>'Rekapitulacija Posebni dio'!D409</f>
        <v>3000</v>
      </c>
      <c r="G33" s="173">
        <f>'Rekapitulacija Posebni dio'!E409</f>
        <v>0</v>
      </c>
      <c r="H33" s="173">
        <f>'Rekapitulacija Posebni dio'!F409</f>
        <v>0</v>
      </c>
      <c r="I33" s="173">
        <f>'Rekapitulacija Posebni dio'!G409</f>
        <v>0</v>
      </c>
      <c r="J33" s="120"/>
      <c r="K33" s="120"/>
      <c r="L33" s="120"/>
      <c r="M33" s="120"/>
      <c r="N33" s="120"/>
      <c r="O33" s="120"/>
      <c r="P33" s="120"/>
    </row>
    <row r="34" spans="1:16" s="139" customFormat="1" x14ac:dyDescent="0.25">
      <c r="A34" s="202"/>
      <c r="B34" s="162" t="s">
        <v>131</v>
      </c>
      <c r="C34" s="202"/>
      <c r="D34" s="246" t="s">
        <v>132</v>
      </c>
      <c r="E34" s="165">
        <f t="shared" ref="E34:I34" si="15">SUM(E35:E37)</f>
        <v>64234.04</v>
      </c>
      <c r="F34" s="165">
        <f t="shared" si="15"/>
        <v>55286</v>
      </c>
      <c r="G34" s="165">
        <f t="shared" si="15"/>
        <v>46010</v>
      </c>
      <c r="H34" s="165">
        <f t="shared" si="15"/>
        <v>46010</v>
      </c>
      <c r="I34" s="165">
        <f t="shared" si="15"/>
        <v>46010</v>
      </c>
      <c r="J34" s="138"/>
      <c r="K34" s="138"/>
      <c r="L34" s="138"/>
      <c r="M34" s="138"/>
      <c r="N34" s="138"/>
      <c r="O34" s="138"/>
      <c r="P34" s="138"/>
    </row>
    <row r="35" spans="1:16" s="121" customFormat="1" ht="15" customHeight="1" x14ac:dyDescent="0.25">
      <c r="A35" s="234"/>
      <c r="B35" s="235" t="s">
        <v>538</v>
      </c>
      <c r="C35" s="234"/>
      <c r="D35" s="244" t="s">
        <v>442</v>
      </c>
      <c r="E35" s="173">
        <f>'Rekapitulacija Posebni dio'!C467</f>
        <v>15000</v>
      </c>
      <c r="F35" s="173">
        <f>'Rekapitulacija Posebni dio'!D467</f>
        <v>20000</v>
      </c>
      <c r="G35" s="173">
        <f>'Rekapitulacija Posebni dio'!E467</f>
        <v>20641</v>
      </c>
      <c r="H35" s="173">
        <f>'Rekapitulacija Posebni dio'!F467</f>
        <v>20641</v>
      </c>
      <c r="I35" s="173">
        <f>'Rekapitulacija Posebni dio'!G467</f>
        <v>20641</v>
      </c>
      <c r="J35" s="120"/>
      <c r="K35" s="120"/>
      <c r="L35" s="120"/>
      <c r="M35" s="120"/>
      <c r="N35" s="120"/>
      <c r="O35" s="120"/>
      <c r="P35" s="120"/>
    </row>
    <row r="36" spans="1:16" s="121" customFormat="1" ht="15" customHeight="1" x14ac:dyDescent="0.25">
      <c r="A36" s="234"/>
      <c r="B36" s="235" t="s">
        <v>539</v>
      </c>
      <c r="C36" s="234"/>
      <c r="D36" s="244" t="s">
        <v>443</v>
      </c>
      <c r="E36" s="173">
        <f>'Rekapitulacija Posebni dio'!C468</f>
        <v>8000</v>
      </c>
      <c r="F36" s="173">
        <f>'Rekapitulacija Posebni dio'!D468</f>
        <v>10000</v>
      </c>
      <c r="G36" s="173">
        <f>'Rekapitulacija Posebni dio'!E468</f>
        <v>10760</v>
      </c>
      <c r="H36" s="173">
        <f>'Rekapitulacija Posebni dio'!F468</f>
        <v>10760</v>
      </c>
      <c r="I36" s="173">
        <f>'Rekapitulacija Posebni dio'!G468</f>
        <v>10760</v>
      </c>
      <c r="J36" s="120"/>
      <c r="K36" s="120"/>
      <c r="L36" s="120"/>
      <c r="M36" s="120"/>
      <c r="N36" s="120"/>
      <c r="O36" s="120"/>
      <c r="P36" s="120"/>
    </row>
    <row r="37" spans="1:16" s="121" customFormat="1" ht="15" customHeight="1" x14ac:dyDescent="0.25">
      <c r="A37" s="234"/>
      <c r="B37" s="235" t="s">
        <v>540</v>
      </c>
      <c r="C37" s="234"/>
      <c r="D37" s="244" t="s">
        <v>441</v>
      </c>
      <c r="E37" s="173">
        <f>'Rekapitulacija Posebni dio'!C469</f>
        <v>41234.04</v>
      </c>
      <c r="F37" s="173">
        <f>'Rekapitulacija Posebni dio'!D469</f>
        <v>25286</v>
      </c>
      <c r="G37" s="173">
        <f>'Rekapitulacija Posebni dio'!E469</f>
        <v>14609</v>
      </c>
      <c r="H37" s="173">
        <f>'Rekapitulacija Posebni dio'!F469</f>
        <v>14609</v>
      </c>
      <c r="I37" s="173">
        <f>'Rekapitulacija Posebni dio'!G469</f>
        <v>14609</v>
      </c>
      <c r="J37" s="120"/>
      <c r="K37" s="120"/>
      <c r="L37" s="120"/>
      <c r="M37" s="120"/>
      <c r="N37" s="120"/>
      <c r="O37" s="120"/>
      <c r="P37" s="120"/>
    </row>
    <row r="38" spans="1:16" s="139" customFormat="1" ht="15" customHeight="1" x14ac:dyDescent="0.25">
      <c r="A38" s="202"/>
      <c r="B38" s="162" t="s">
        <v>218</v>
      </c>
      <c r="C38" s="202"/>
      <c r="D38" s="246" t="s">
        <v>138</v>
      </c>
      <c r="E38" s="165">
        <f>E39</f>
        <v>1399.02</v>
      </c>
      <c r="F38" s="165">
        <f t="shared" ref="F38:I38" si="16">F39</f>
        <v>27000</v>
      </c>
      <c r="G38" s="165">
        <f t="shared" si="16"/>
        <v>0</v>
      </c>
      <c r="H38" s="165">
        <f t="shared" si="16"/>
        <v>0</v>
      </c>
      <c r="I38" s="165">
        <f t="shared" si="16"/>
        <v>0</v>
      </c>
      <c r="J38" s="138"/>
      <c r="K38" s="138"/>
      <c r="L38" s="138"/>
      <c r="M38" s="138"/>
      <c r="N38" s="138"/>
      <c r="O38" s="138"/>
      <c r="P38" s="138"/>
    </row>
    <row r="39" spans="1:16" s="121" customFormat="1" ht="15" customHeight="1" x14ac:dyDescent="0.25">
      <c r="A39" s="234"/>
      <c r="B39" s="235" t="s">
        <v>527</v>
      </c>
      <c r="C39" s="234"/>
      <c r="D39" s="244" t="s">
        <v>138</v>
      </c>
      <c r="E39" s="173">
        <f>'Rekapitulacija Posebni dio'!C411+'Rekapitulacija Posebni dio'!C439</f>
        <v>1399.02</v>
      </c>
      <c r="F39" s="173">
        <f>'Rekapitulacija Posebni dio'!D411+'Rekapitulacija Posebni dio'!D439</f>
        <v>27000</v>
      </c>
      <c r="G39" s="173">
        <f>'Rekapitulacija Posebni dio'!E411+'Rekapitulacija Posebni dio'!E439</f>
        <v>0</v>
      </c>
      <c r="H39" s="173">
        <f>'Rekapitulacija Posebni dio'!F411+'Rekapitulacija Posebni dio'!F439</f>
        <v>0</v>
      </c>
      <c r="I39" s="173">
        <f>'Rekapitulacija Posebni dio'!G411+'Rekapitulacija Posebni dio'!G439</f>
        <v>0</v>
      </c>
      <c r="J39" s="120"/>
      <c r="K39" s="120"/>
      <c r="L39" s="120"/>
      <c r="M39" s="120"/>
      <c r="N39" s="120"/>
      <c r="O39" s="120"/>
      <c r="P39" s="120"/>
    </row>
    <row r="40" spans="1:16" s="139" customFormat="1" ht="15" customHeight="1" x14ac:dyDescent="0.25">
      <c r="A40" s="202"/>
      <c r="B40" s="162" t="s">
        <v>219</v>
      </c>
      <c r="C40" s="202"/>
      <c r="D40" s="246" t="s">
        <v>139</v>
      </c>
      <c r="E40" s="165">
        <f>E41</f>
        <v>1250</v>
      </c>
      <c r="F40" s="165">
        <f t="shared" ref="F40:I40" si="17">F41</f>
        <v>0</v>
      </c>
      <c r="G40" s="165">
        <f t="shared" si="17"/>
        <v>0</v>
      </c>
      <c r="H40" s="165">
        <f t="shared" si="17"/>
        <v>0</v>
      </c>
      <c r="I40" s="165">
        <f t="shared" si="17"/>
        <v>0</v>
      </c>
      <c r="J40" s="138"/>
      <c r="K40" s="138"/>
      <c r="L40" s="138"/>
      <c r="M40" s="138"/>
      <c r="N40" s="138"/>
      <c r="O40" s="138"/>
      <c r="P40" s="138"/>
    </row>
    <row r="41" spans="1:16" s="121" customFormat="1" ht="15" customHeight="1" x14ac:dyDescent="0.25">
      <c r="A41" s="234"/>
      <c r="B41" s="235" t="s">
        <v>583</v>
      </c>
      <c r="C41" s="234"/>
      <c r="D41" s="244" t="s">
        <v>519</v>
      </c>
      <c r="E41" s="173">
        <f>'Rekapitulacija Posebni dio'!C413</f>
        <v>1250</v>
      </c>
      <c r="F41" s="173">
        <f>'Rekapitulacija Posebni dio'!D413</f>
        <v>0</v>
      </c>
      <c r="G41" s="173">
        <f>'Rekapitulacija Posebni dio'!E413</f>
        <v>0</v>
      </c>
      <c r="H41" s="173">
        <f>'Rekapitulacija Posebni dio'!F413</f>
        <v>0</v>
      </c>
      <c r="I41" s="173">
        <f>'Rekapitulacija Posebni dio'!G413</f>
        <v>0</v>
      </c>
      <c r="J41" s="120"/>
      <c r="K41" s="120"/>
      <c r="L41" s="120"/>
      <c r="M41" s="120"/>
      <c r="N41" s="120"/>
      <c r="O41" s="120"/>
      <c r="P41" s="120"/>
    </row>
    <row r="42" spans="1:16" s="121" customFormat="1" ht="15" customHeight="1" x14ac:dyDescent="0.25">
      <c r="A42" s="234"/>
      <c r="B42" s="184">
        <v>3238</v>
      </c>
      <c r="C42" s="161"/>
      <c r="D42" s="248" t="s">
        <v>141</v>
      </c>
      <c r="E42" s="165">
        <f t="shared" ref="E42:I42" si="18">SUM(E43)</f>
        <v>42306</v>
      </c>
      <c r="F42" s="165">
        <f t="shared" si="18"/>
        <v>40000</v>
      </c>
      <c r="G42" s="165">
        <f t="shared" si="18"/>
        <v>40000</v>
      </c>
      <c r="H42" s="165">
        <f t="shared" si="18"/>
        <v>40000</v>
      </c>
      <c r="I42" s="165">
        <f t="shared" si="18"/>
        <v>40000</v>
      </c>
      <c r="J42" s="120"/>
      <c r="K42" s="120"/>
      <c r="L42" s="120"/>
      <c r="M42" s="120"/>
      <c r="N42" s="120"/>
      <c r="O42" s="120"/>
      <c r="P42" s="120"/>
    </row>
    <row r="43" spans="1:16" s="139" customFormat="1" x14ac:dyDescent="0.25">
      <c r="A43" s="202"/>
      <c r="B43" s="187">
        <v>32389</v>
      </c>
      <c r="C43" s="140"/>
      <c r="D43" s="247" t="s">
        <v>453</v>
      </c>
      <c r="E43" s="173">
        <f>'Rekapitulacija Posebni dio'!C473</f>
        <v>42306</v>
      </c>
      <c r="F43" s="173">
        <f>'Rekapitulacija Posebni dio'!D473</f>
        <v>40000</v>
      </c>
      <c r="G43" s="173">
        <f>'Rekapitulacija Posebni dio'!E473</f>
        <v>40000</v>
      </c>
      <c r="H43" s="173">
        <f>'Rekapitulacija Posebni dio'!F473</f>
        <v>40000</v>
      </c>
      <c r="I43" s="173">
        <f>'Rekapitulacija Posebni dio'!G473</f>
        <v>40000</v>
      </c>
      <c r="J43" s="138"/>
      <c r="K43" s="138"/>
      <c r="L43" s="138"/>
      <c r="M43" s="138"/>
      <c r="N43" s="138"/>
      <c r="O43" s="138"/>
      <c r="P43" s="138"/>
    </row>
    <row r="44" spans="1:16" s="139" customFormat="1" x14ac:dyDescent="0.25">
      <c r="A44" s="202"/>
      <c r="B44" s="184">
        <v>3239</v>
      </c>
      <c r="C44" s="161"/>
      <c r="D44" s="248" t="s">
        <v>143</v>
      </c>
      <c r="E44" s="165">
        <f>E45+E46</f>
        <v>307.88</v>
      </c>
      <c r="F44" s="165">
        <f t="shared" ref="F44:I44" si="19">F45+F46</f>
        <v>0</v>
      </c>
      <c r="G44" s="165">
        <f t="shared" si="19"/>
        <v>0</v>
      </c>
      <c r="H44" s="165">
        <f t="shared" si="19"/>
        <v>0</v>
      </c>
      <c r="I44" s="165">
        <f t="shared" si="19"/>
        <v>0</v>
      </c>
      <c r="J44" s="138"/>
      <c r="K44" s="138"/>
      <c r="L44" s="138"/>
      <c r="M44" s="138"/>
      <c r="N44" s="138"/>
      <c r="O44" s="138"/>
      <c r="P44" s="138"/>
    </row>
    <row r="45" spans="1:16" s="139" customFormat="1" x14ac:dyDescent="0.25">
      <c r="A45" s="202"/>
      <c r="B45" s="187">
        <v>32394</v>
      </c>
      <c r="C45" s="140"/>
      <c r="D45" s="247" t="s">
        <v>454</v>
      </c>
      <c r="E45" s="173">
        <f>'Rekapitulacija Posebni dio'!C415</f>
        <v>237.88</v>
      </c>
      <c r="F45" s="173">
        <f>'Rekapitulacija Posebni dio'!D415</f>
        <v>0</v>
      </c>
      <c r="G45" s="173">
        <f>'Rekapitulacija Posebni dio'!E415</f>
        <v>0</v>
      </c>
      <c r="H45" s="173">
        <f>'Rekapitulacija Posebni dio'!F415</f>
        <v>0</v>
      </c>
      <c r="I45" s="173">
        <f>'Rekapitulacija Posebni dio'!G415</f>
        <v>0</v>
      </c>
      <c r="J45" s="138"/>
      <c r="K45" s="138"/>
      <c r="L45" s="138"/>
      <c r="M45" s="138"/>
      <c r="N45" s="138"/>
      <c r="O45" s="138"/>
      <c r="P45" s="138"/>
    </row>
    <row r="46" spans="1:16" s="139" customFormat="1" x14ac:dyDescent="0.25">
      <c r="A46" s="202"/>
      <c r="B46" s="187">
        <v>32399</v>
      </c>
      <c r="C46" s="140"/>
      <c r="D46" s="247" t="s">
        <v>317</v>
      </c>
      <c r="E46" s="173">
        <f>'Rekapitulacija Posebni dio'!C416</f>
        <v>70</v>
      </c>
      <c r="F46" s="173">
        <f>'Rekapitulacija Posebni dio'!D416</f>
        <v>0</v>
      </c>
      <c r="G46" s="173">
        <f>'Rekapitulacija Posebni dio'!E416</f>
        <v>0</v>
      </c>
      <c r="H46" s="173">
        <f>'Rekapitulacija Posebni dio'!F416</f>
        <v>0</v>
      </c>
      <c r="I46" s="173">
        <f>'Rekapitulacija Posebni dio'!G416</f>
        <v>0</v>
      </c>
      <c r="J46" s="138"/>
      <c r="K46" s="138"/>
      <c r="L46" s="138"/>
      <c r="M46" s="138"/>
      <c r="N46" s="138"/>
      <c r="O46" s="138"/>
      <c r="P46" s="138"/>
    </row>
    <row r="47" spans="1:16" s="139" customFormat="1" x14ac:dyDescent="0.25">
      <c r="A47" s="202"/>
      <c r="B47" s="166" t="s">
        <v>594</v>
      </c>
      <c r="C47" s="161"/>
      <c r="D47" s="168" t="s">
        <v>128</v>
      </c>
      <c r="E47" s="165">
        <f>E48</f>
        <v>0</v>
      </c>
      <c r="F47" s="165">
        <f t="shared" ref="F47:I47" si="20">F48</f>
        <v>176000</v>
      </c>
      <c r="G47" s="165">
        <f t="shared" si="20"/>
        <v>0</v>
      </c>
      <c r="H47" s="165">
        <f t="shared" si="20"/>
        <v>0</v>
      </c>
      <c r="I47" s="165">
        <f t="shared" si="20"/>
        <v>0</v>
      </c>
      <c r="J47" s="138"/>
      <c r="K47" s="138"/>
      <c r="L47" s="138"/>
      <c r="M47" s="138"/>
      <c r="N47" s="138"/>
      <c r="O47" s="138"/>
      <c r="P47" s="138"/>
    </row>
    <row r="48" spans="1:16" s="139" customFormat="1" x14ac:dyDescent="0.25">
      <c r="A48" s="202"/>
      <c r="B48" s="166" t="s">
        <v>595</v>
      </c>
      <c r="C48" s="161"/>
      <c r="D48" s="168" t="s">
        <v>143</v>
      </c>
      <c r="E48" s="165">
        <f>E49+E50</f>
        <v>0</v>
      </c>
      <c r="F48" s="165">
        <f t="shared" ref="F48:I48" si="21">F49+F50</f>
        <v>176000</v>
      </c>
      <c r="G48" s="165">
        <f t="shared" si="21"/>
        <v>0</v>
      </c>
      <c r="H48" s="165">
        <f t="shared" si="21"/>
        <v>0</v>
      </c>
      <c r="I48" s="165">
        <f t="shared" si="21"/>
        <v>0</v>
      </c>
      <c r="J48" s="138"/>
      <c r="K48" s="138"/>
      <c r="L48" s="138"/>
      <c r="M48" s="138"/>
      <c r="N48" s="138"/>
      <c r="O48" s="138"/>
      <c r="P48" s="138"/>
    </row>
    <row r="49" spans="1:16" s="139" customFormat="1" x14ac:dyDescent="0.25">
      <c r="A49" s="202"/>
      <c r="B49" s="170" t="s">
        <v>596</v>
      </c>
      <c r="C49" s="161"/>
      <c r="D49" s="171" t="s">
        <v>598</v>
      </c>
      <c r="E49" s="173">
        <f>'Rekapitulacija Posebni dio'!C419+'Rekapitulacija Posebni dio'!C442</f>
        <v>0</v>
      </c>
      <c r="F49" s="173">
        <f>'Rekapitulacija Posebni dio'!D419+'Rekapitulacija Posebni dio'!D442</f>
        <v>24000</v>
      </c>
      <c r="G49" s="173">
        <f>'Rekapitulacija Posebni dio'!E419+'Rekapitulacija Posebni dio'!E442</f>
        <v>0</v>
      </c>
      <c r="H49" s="173">
        <f>'Rekapitulacija Posebni dio'!F419+'Rekapitulacija Posebni dio'!F442</f>
        <v>0</v>
      </c>
      <c r="I49" s="173">
        <f>'Rekapitulacija Posebni dio'!G419+'Rekapitulacija Posebni dio'!G442</f>
        <v>0</v>
      </c>
      <c r="J49" s="138"/>
      <c r="K49" s="138"/>
      <c r="L49" s="138"/>
      <c r="M49" s="138"/>
      <c r="N49" s="138"/>
      <c r="O49" s="138"/>
      <c r="P49" s="138"/>
    </row>
    <row r="50" spans="1:16" s="139" customFormat="1" x14ac:dyDescent="0.25">
      <c r="A50" s="202"/>
      <c r="B50" s="170" t="s">
        <v>597</v>
      </c>
      <c r="C50" s="161"/>
      <c r="D50" s="171" t="s">
        <v>599</v>
      </c>
      <c r="E50" s="173">
        <f>'Rekapitulacija Posebni dio'!C420+'Rekapitulacija Posebni dio'!C433+'Rekapitulacija Posebni dio'!C443</f>
        <v>0</v>
      </c>
      <c r="F50" s="173">
        <f>'Rekapitulacija Posebni dio'!D420+'Rekapitulacija Posebni dio'!D433+'Rekapitulacija Posebni dio'!D443</f>
        <v>152000</v>
      </c>
      <c r="G50" s="173">
        <f>'Rekapitulacija Posebni dio'!E420+'Rekapitulacija Posebni dio'!E433+'Rekapitulacija Posebni dio'!E443</f>
        <v>0</v>
      </c>
      <c r="H50" s="173">
        <f>'Rekapitulacija Posebni dio'!F420+'Rekapitulacija Posebni dio'!F433+'Rekapitulacija Posebni dio'!F443</f>
        <v>0</v>
      </c>
      <c r="I50" s="173">
        <f>'Rekapitulacija Posebni dio'!G420+'Rekapitulacija Posebni dio'!G433+'Rekapitulacija Posebni dio'!G443</f>
        <v>0</v>
      </c>
      <c r="J50" s="138"/>
      <c r="K50" s="138"/>
      <c r="L50" s="138"/>
      <c r="M50" s="138"/>
      <c r="N50" s="138"/>
      <c r="O50" s="138"/>
      <c r="P50" s="138"/>
    </row>
    <row r="51" spans="1:16" s="139" customFormat="1" x14ac:dyDescent="0.25">
      <c r="A51" s="202"/>
      <c r="B51" s="184">
        <v>329</v>
      </c>
      <c r="C51" s="161"/>
      <c r="D51" s="248" t="s">
        <v>145</v>
      </c>
      <c r="E51" s="165">
        <f>E52+E54+E56</f>
        <v>1317.9</v>
      </c>
      <c r="F51" s="165">
        <f t="shared" ref="F51:I51" si="22">F52+F54+F56</f>
        <v>0</v>
      </c>
      <c r="G51" s="165">
        <f t="shared" si="22"/>
        <v>0</v>
      </c>
      <c r="H51" s="165">
        <f t="shared" si="22"/>
        <v>0</v>
      </c>
      <c r="I51" s="165">
        <f t="shared" si="22"/>
        <v>0</v>
      </c>
      <c r="J51" s="138"/>
      <c r="K51" s="138"/>
      <c r="L51" s="138"/>
      <c r="M51" s="138"/>
      <c r="N51" s="138"/>
      <c r="O51" s="138"/>
      <c r="P51" s="138"/>
    </row>
    <row r="52" spans="1:16" s="139" customFormat="1" x14ac:dyDescent="0.25">
      <c r="A52" s="202"/>
      <c r="B52" s="184">
        <v>3292</v>
      </c>
      <c r="C52" s="161"/>
      <c r="D52" s="248" t="s">
        <v>148</v>
      </c>
      <c r="E52" s="165">
        <f>E53</f>
        <v>250.01</v>
      </c>
      <c r="F52" s="165">
        <f t="shared" ref="F52:I52" si="23">F53</f>
        <v>0</v>
      </c>
      <c r="G52" s="165">
        <f t="shared" si="23"/>
        <v>0</v>
      </c>
      <c r="H52" s="165">
        <f t="shared" si="23"/>
        <v>0</v>
      </c>
      <c r="I52" s="165">
        <f t="shared" si="23"/>
        <v>0</v>
      </c>
      <c r="J52" s="138"/>
      <c r="K52" s="138"/>
      <c r="L52" s="138"/>
      <c r="M52" s="138"/>
      <c r="N52" s="138"/>
      <c r="O52" s="138"/>
      <c r="P52" s="138"/>
    </row>
    <row r="53" spans="1:16" s="139" customFormat="1" x14ac:dyDescent="0.25">
      <c r="A53" s="202"/>
      <c r="B53" s="187">
        <v>32923</v>
      </c>
      <c r="C53" s="140"/>
      <c r="D53" s="247" t="s">
        <v>456</v>
      </c>
      <c r="E53" s="173">
        <f>'Rekapitulacija Posebni dio'!C423</f>
        <v>250.01</v>
      </c>
      <c r="F53" s="173">
        <f>'Rekapitulacija Posebni dio'!D423</f>
        <v>0</v>
      </c>
      <c r="G53" s="173">
        <f>'Rekapitulacija Posebni dio'!E423</f>
        <v>0</v>
      </c>
      <c r="H53" s="173">
        <f>'Rekapitulacija Posebni dio'!F423</f>
        <v>0</v>
      </c>
      <c r="I53" s="173">
        <f>'Rekapitulacija Posebni dio'!G423</f>
        <v>0</v>
      </c>
      <c r="J53" s="138"/>
      <c r="K53" s="138"/>
      <c r="L53" s="138"/>
      <c r="M53" s="138"/>
      <c r="N53" s="138"/>
      <c r="O53" s="138"/>
      <c r="P53" s="138"/>
    </row>
    <row r="54" spans="1:16" s="139" customFormat="1" x14ac:dyDescent="0.25">
      <c r="A54" s="202"/>
      <c r="B54" s="184">
        <v>3293</v>
      </c>
      <c r="C54" s="161"/>
      <c r="D54" s="248" t="s">
        <v>149</v>
      </c>
      <c r="E54" s="165">
        <f>E55</f>
        <v>877.58</v>
      </c>
      <c r="F54" s="165">
        <f t="shared" ref="F54:I54" si="24">F55</f>
        <v>0</v>
      </c>
      <c r="G54" s="165">
        <f t="shared" si="24"/>
        <v>0</v>
      </c>
      <c r="H54" s="165">
        <f t="shared" si="24"/>
        <v>0</v>
      </c>
      <c r="I54" s="165">
        <f t="shared" si="24"/>
        <v>0</v>
      </c>
      <c r="J54" s="138"/>
      <c r="K54" s="138"/>
      <c r="L54" s="138"/>
      <c r="M54" s="138"/>
      <c r="N54" s="138"/>
      <c r="O54" s="138"/>
      <c r="P54" s="138"/>
    </row>
    <row r="55" spans="1:16" s="139" customFormat="1" x14ac:dyDescent="0.25">
      <c r="A55" s="202"/>
      <c r="B55" s="187">
        <v>32931</v>
      </c>
      <c r="C55" s="140"/>
      <c r="D55" s="247" t="s">
        <v>149</v>
      </c>
      <c r="E55" s="173">
        <f>'Rekapitulacija Posebni dio'!C425</f>
        <v>877.58</v>
      </c>
      <c r="F55" s="173">
        <f>'Rekapitulacija Posebni dio'!D425</f>
        <v>0</v>
      </c>
      <c r="G55" s="173">
        <f>'Rekapitulacija Posebni dio'!E425</f>
        <v>0</v>
      </c>
      <c r="H55" s="173">
        <f>'Rekapitulacija Posebni dio'!F425</f>
        <v>0</v>
      </c>
      <c r="I55" s="173">
        <f>'Rekapitulacija Posebni dio'!G425</f>
        <v>0</v>
      </c>
      <c r="J55" s="138"/>
      <c r="K55" s="138"/>
      <c r="L55" s="138"/>
      <c r="M55" s="138"/>
      <c r="N55" s="138"/>
      <c r="O55" s="138"/>
      <c r="P55" s="138"/>
    </row>
    <row r="56" spans="1:16" s="139" customFormat="1" x14ac:dyDescent="0.25">
      <c r="A56" s="202"/>
      <c r="B56" s="184">
        <v>3299</v>
      </c>
      <c r="C56" s="161"/>
      <c r="D56" s="248" t="s">
        <v>145</v>
      </c>
      <c r="E56" s="165">
        <f>E57</f>
        <v>190.31</v>
      </c>
      <c r="F56" s="165">
        <f t="shared" ref="F56:I56" si="25">F57</f>
        <v>0</v>
      </c>
      <c r="G56" s="165">
        <f t="shared" si="25"/>
        <v>0</v>
      </c>
      <c r="H56" s="165">
        <f t="shared" si="25"/>
        <v>0</v>
      </c>
      <c r="I56" s="165">
        <f t="shared" si="25"/>
        <v>0</v>
      </c>
      <c r="J56" s="138"/>
      <c r="K56" s="138"/>
      <c r="L56" s="138"/>
      <c r="M56" s="138"/>
      <c r="N56" s="138"/>
      <c r="O56" s="138"/>
      <c r="P56" s="138"/>
    </row>
    <row r="57" spans="1:16" s="139" customFormat="1" x14ac:dyDescent="0.25">
      <c r="A57" s="202"/>
      <c r="B57" s="187">
        <v>32999</v>
      </c>
      <c r="C57" s="140"/>
      <c r="D57" s="247" t="s">
        <v>145</v>
      </c>
      <c r="E57" s="173">
        <f>'Rekapitulacija Posebni dio'!C427</f>
        <v>190.31</v>
      </c>
      <c r="F57" s="173">
        <f>'Rekapitulacija Posebni dio'!D427</f>
        <v>0</v>
      </c>
      <c r="G57" s="173">
        <f>'Rekapitulacija Posebni dio'!E427</f>
        <v>0</v>
      </c>
      <c r="H57" s="173">
        <f>'Rekapitulacija Posebni dio'!F427</f>
        <v>0</v>
      </c>
      <c r="I57" s="173">
        <f>'Rekapitulacija Posebni dio'!G427</f>
        <v>0</v>
      </c>
      <c r="J57" s="138"/>
      <c r="K57" s="138"/>
      <c r="L57" s="138"/>
      <c r="M57" s="138"/>
      <c r="N57" s="138"/>
      <c r="O57" s="138"/>
      <c r="P57" s="138"/>
    </row>
    <row r="58" spans="1:16" s="139" customFormat="1" x14ac:dyDescent="0.25">
      <c r="A58" s="295">
        <v>4</v>
      </c>
      <c r="B58" s="259"/>
      <c r="C58" s="211"/>
      <c r="D58" s="353" t="s">
        <v>175</v>
      </c>
      <c r="E58" s="214">
        <f t="shared" ref="E58" si="26">E59+E70</f>
        <v>255509.51</v>
      </c>
      <c r="F58" s="214">
        <f t="shared" ref="F58:I58" si="27">F59+F70</f>
        <v>209000</v>
      </c>
      <c r="G58" s="214">
        <f t="shared" si="27"/>
        <v>265276</v>
      </c>
      <c r="H58" s="214">
        <f t="shared" si="27"/>
        <v>265276</v>
      </c>
      <c r="I58" s="214">
        <f t="shared" si="27"/>
        <v>265276</v>
      </c>
      <c r="J58" s="138"/>
      <c r="K58" s="138"/>
      <c r="L58" s="138"/>
      <c r="M58" s="138"/>
      <c r="N58" s="138"/>
      <c r="O58" s="138"/>
      <c r="P58" s="138"/>
    </row>
    <row r="59" spans="1:16" s="121" customFormat="1" x14ac:dyDescent="0.25">
      <c r="A59" s="234"/>
      <c r="B59" s="141">
        <v>42</v>
      </c>
      <c r="C59" s="215"/>
      <c r="D59" s="233" t="s">
        <v>184</v>
      </c>
      <c r="E59" s="178">
        <f t="shared" ref="E59:I59" si="28">SUM(E60)</f>
        <v>108623.04000000001</v>
      </c>
      <c r="F59" s="178">
        <f t="shared" si="28"/>
        <v>178000</v>
      </c>
      <c r="G59" s="178">
        <f t="shared" si="28"/>
        <v>180994.84</v>
      </c>
      <c r="H59" s="178">
        <f t="shared" si="28"/>
        <v>180994.84</v>
      </c>
      <c r="I59" s="178">
        <f t="shared" si="28"/>
        <v>180994.84</v>
      </c>
      <c r="J59" s="120"/>
      <c r="K59" s="120"/>
      <c r="L59" s="120"/>
      <c r="M59" s="120"/>
      <c r="N59" s="120"/>
      <c r="O59" s="120"/>
      <c r="P59" s="120"/>
    </row>
    <row r="60" spans="1:16" s="121" customFormat="1" x14ac:dyDescent="0.25">
      <c r="A60" s="234"/>
      <c r="B60" s="162">
        <v>422</v>
      </c>
      <c r="C60" s="234"/>
      <c r="D60" s="202" t="s">
        <v>185</v>
      </c>
      <c r="E60" s="165">
        <f t="shared" ref="E60" si="29">E61+E64+E66+E68</f>
        <v>108623.04000000001</v>
      </c>
      <c r="F60" s="165">
        <f t="shared" ref="F60:I60" si="30">F61+F64+F66+F68</f>
        <v>178000</v>
      </c>
      <c r="G60" s="165">
        <f t="shared" si="30"/>
        <v>180994.84</v>
      </c>
      <c r="H60" s="165">
        <f t="shared" si="30"/>
        <v>180994.84</v>
      </c>
      <c r="I60" s="165">
        <f t="shared" si="30"/>
        <v>180994.84</v>
      </c>
      <c r="J60" s="120"/>
      <c r="K60" s="120"/>
      <c r="L60" s="120"/>
      <c r="M60" s="120"/>
      <c r="N60" s="120"/>
      <c r="O60" s="120"/>
      <c r="P60" s="120"/>
    </row>
    <row r="61" spans="1:16" s="121" customFormat="1" x14ac:dyDescent="0.25">
      <c r="A61" s="234"/>
      <c r="B61" s="162" t="s">
        <v>186</v>
      </c>
      <c r="C61" s="202"/>
      <c r="D61" s="202" t="s">
        <v>187</v>
      </c>
      <c r="E61" s="165">
        <f t="shared" ref="E61" si="31">SUM(E62:E63)</f>
        <v>950.63</v>
      </c>
      <c r="F61" s="165">
        <f t="shared" ref="F61:I61" si="32">SUM(F62:F63)</f>
        <v>6000</v>
      </c>
      <c r="G61" s="165">
        <f t="shared" si="32"/>
        <v>315</v>
      </c>
      <c r="H61" s="165">
        <f t="shared" si="32"/>
        <v>315</v>
      </c>
      <c r="I61" s="165">
        <f t="shared" si="32"/>
        <v>315</v>
      </c>
      <c r="J61" s="120"/>
      <c r="K61" s="120"/>
      <c r="L61" s="120"/>
      <c r="M61" s="120"/>
      <c r="N61" s="120"/>
      <c r="O61" s="120"/>
      <c r="P61" s="120"/>
    </row>
    <row r="62" spans="1:16" s="121" customFormat="1" x14ac:dyDescent="0.25">
      <c r="A62" s="234"/>
      <c r="B62" s="235" t="s">
        <v>541</v>
      </c>
      <c r="C62" s="234"/>
      <c r="D62" s="234" t="s">
        <v>473</v>
      </c>
      <c r="E62" s="173">
        <f>'Rekapitulacija Posebni dio'!C478</f>
        <v>370.63</v>
      </c>
      <c r="F62" s="173">
        <f>'Rekapitulacija Posebni dio'!D478</f>
        <v>5000</v>
      </c>
      <c r="G62" s="173">
        <f>'Rekapitulacija Posebni dio'!E478</f>
        <v>0</v>
      </c>
      <c r="H62" s="173">
        <f>'Rekapitulacija Posebni dio'!F478</f>
        <v>0</v>
      </c>
      <c r="I62" s="173">
        <f>'Rekapitulacija Posebni dio'!G478</f>
        <v>0</v>
      </c>
      <c r="J62" s="120"/>
      <c r="K62" s="120"/>
      <c r="L62" s="120"/>
      <c r="M62" s="120"/>
      <c r="N62" s="120"/>
      <c r="O62" s="120"/>
      <c r="P62" s="120"/>
    </row>
    <row r="63" spans="1:16" s="121" customFormat="1" x14ac:dyDescent="0.25">
      <c r="A63" s="234"/>
      <c r="B63" s="235" t="s">
        <v>536</v>
      </c>
      <c r="C63" s="234"/>
      <c r="D63" s="234" t="s">
        <v>474</v>
      </c>
      <c r="E63" s="173">
        <f>'Rekapitulacija Posebni dio'!C479</f>
        <v>580</v>
      </c>
      <c r="F63" s="173">
        <f>'Rekapitulacija Posebni dio'!D479</f>
        <v>1000</v>
      </c>
      <c r="G63" s="173">
        <f>'Rekapitulacija Posebni dio'!E479</f>
        <v>315</v>
      </c>
      <c r="H63" s="173">
        <f>'Rekapitulacija Posebni dio'!F479</f>
        <v>315</v>
      </c>
      <c r="I63" s="173">
        <f>'Rekapitulacija Posebni dio'!G479</f>
        <v>315</v>
      </c>
      <c r="J63" s="120"/>
      <c r="K63" s="120"/>
      <c r="L63" s="120"/>
      <c r="M63" s="120"/>
      <c r="N63" s="120"/>
      <c r="O63" s="120"/>
      <c r="P63" s="120"/>
    </row>
    <row r="64" spans="1:16" s="121" customFormat="1" x14ac:dyDescent="0.25">
      <c r="A64" s="234"/>
      <c r="B64" s="162" t="s">
        <v>229</v>
      </c>
      <c r="C64" s="202"/>
      <c r="D64" s="202" t="s">
        <v>190</v>
      </c>
      <c r="E64" s="165">
        <f t="shared" ref="E64:I64" si="33">E65</f>
        <v>3832.41</v>
      </c>
      <c r="F64" s="165">
        <f t="shared" si="33"/>
        <v>3000</v>
      </c>
      <c r="G64" s="165">
        <f t="shared" si="33"/>
        <v>2816.73</v>
      </c>
      <c r="H64" s="165">
        <f t="shared" si="33"/>
        <v>2816.73</v>
      </c>
      <c r="I64" s="165">
        <f t="shared" si="33"/>
        <v>2816.73</v>
      </c>
      <c r="J64" s="120"/>
      <c r="K64" s="120"/>
      <c r="L64" s="120"/>
      <c r="M64" s="120"/>
      <c r="N64" s="120"/>
      <c r="O64" s="120"/>
      <c r="P64" s="120"/>
    </row>
    <row r="65" spans="1:16" s="121" customFormat="1" x14ac:dyDescent="0.25">
      <c r="A65" s="234"/>
      <c r="B65" s="235" t="s">
        <v>537</v>
      </c>
      <c r="C65" s="234"/>
      <c r="D65" s="234" t="s">
        <v>477</v>
      </c>
      <c r="E65" s="173">
        <f>'Rekapitulacija Posebni dio'!C481</f>
        <v>3832.41</v>
      </c>
      <c r="F65" s="173">
        <f>'Rekapitulacija Posebni dio'!D481</f>
        <v>3000</v>
      </c>
      <c r="G65" s="173">
        <f>'Rekapitulacija Posebni dio'!E481</f>
        <v>2816.73</v>
      </c>
      <c r="H65" s="173">
        <f>'Rekapitulacija Posebni dio'!F481</f>
        <v>2816.73</v>
      </c>
      <c r="I65" s="173">
        <f>'Rekapitulacija Posebni dio'!G481</f>
        <v>2816.73</v>
      </c>
      <c r="J65" s="120"/>
      <c r="K65" s="120"/>
      <c r="L65" s="120"/>
      <c r="M65" s="120"/>
      <c r="N65" s="120"/>
      <c r="O65" s="120"/>
      <c r="P65" s="120"/>
    </row>
    <row r="66" spans="1:16" s="121" customFormat="1" x14ac:dyDescent="0.25">
      <c r="A66" s="234"/>
      <c r="B66" s="184">
        <v>4224</v>
      </c>
      <c r="C66" s="166"/>
      <c r="D66" s="265" t="s">
        <v>191</v>
      </c>
      <c r="E66" s="165">
        <f t="shared" ref="E66:I66" si="34">SUM(E67)</f>
        <v>59927.5</v>
      </c>
      <c r="F66" s="165">
        <f t="shared" si="34"/>
        <v>134000</v>
      </c>
      <c r="G66" s="165">
        <f t="shared" si="34"/>
        <v>146018.10999999999</v>
      </c>
      <c r="H66" s="165">
        <f t="shared" si="34"/>
        <v>146018.10999999999</v>
      </c>
      <c r="I66" s="165">
        <f t="shared" si="34"/>
        <v>146018.10999999999</v>
      </c>
      <c r="J66" s="120"/>
      <c r="K66" s="120"/>
      <c r="L66" s="120"/>
      <c r="M66" s="120"/>
      <c r="N66" s="120"/>
      <c r="O66" s="120"/>
      <c r="P66" s="120"/>
    </row>
    <row r="67" spans="1:16" s="121" customFormat="1" x14ac:dyDescent="0.25">
      <c r="A67" s="190"/>
      <c r="B67" s="187">
        <v>42241</v>
      </c>
      <c r="C67" s="170"/>
      <c r="D67" s="266" t="s">
        <v>478</v>
      </c>
      <c r="E67" s="173">
        <f>'Rekapitulacija Posebni dio'!C483</f>
        <v>59927.5</v>
      </c>
      <c r="F67" s="173">
        <f>'Rekapitulacija Posebni dio'!D483</f>
        <v>134000</v>
      </c>
      <c r="G67" s="173">
        <f>'Rekapitulacija Posebni dio'!E483</f>
        <v>146018.10999999999</v>
      </c>
      <c r="H67" s="173">
        <f>'Rekapitulacija Posebni dio'!F483</f>
        <v>146018.10999999999</v>
      </c>
      <c r="I67" s="173">
        <f>'Rekapitulacija Posebni dio'!G483</f>
        <v>146018.10999999999</v>
      </c>
      <c r="J67" s="120"/>
      <c r="K67" s="120"/>
      <c r="L67" s="120"/>
      <c r="M67" s="120"/>
      <c r="N67" s="120"/>
      <c r="O67" s="120"/>
      <c r="P67" s="120"/>
    </row>
    <row r="68" spans="1:16" s="121" customFormat="1" x14ac:dyDescent="0.25">
      <c r="A68" s="190"/>
      <c r="B68" s="184">
        <v>4225</v>
      </c>
      <c r="C68" s="166"/>
      <c r="D68" s="265" t="s">
        <v>192</v>
      </c>
      <c r="E68" s="165">
        <f t="shared" ref="E68:I68" si="35">SUM(E69)</f>
        <v>43912.5</v>
      </c>
      <c r="F68" s="165">
        <f t="shared" si="35"/>
        <v>35000</v>
      </c>
      <c r="G68" s="165">
        <f t="shared" si="35"/>
        <v>31845</v>
      </c>
      <c r="H68" s="165">
        <f t="shared" si="35"/>
        <v>31845</v>
      </c>
      <c r="I68" s="165">
        <f t="shared" si="35"/>
        <v>31845</v>
      </c>
      <c r="J68" s="120"/>
      <c r="K68" s="120"/>
      <c r="L68" s="120"/>
      <c r="M68" s="120"/>
      <c r="N68" s="120"/>
      <c r="O68" s="120"/>
      <c r="P68" s="120"/>
    </row>
    <row r="69" spans="1:16" s="121" customFormat="1" x14ac:dyDescent="0.25">
      <c r="A69" s="190"/>
      <c r="B69" s="187">
        <v>42259</v>
      </c>
      <c r="C69" s="170"/>
      <c r="D69" s="266" t="s">
        <v>579</v>
      </c>
      <c r="E69" s="173">
        <f>'Rekapitulacija Posebni dio'!C485</f>
        <v>43912.5</v>
      </c>
      <c r="F69" s="173">
        <f>'Rekapitulacija Posebni dio'!D485</f>
        <v>35000</v>
      </c>
      <c r="G69" s="173">
        <f>'Rekapitulacija Posebni dio'!E485</f>
        <v>31845</v>
      </c>
      <c r="H69" s="173">
        <f>'Rekapitulacija Posebni dio'!F485</f>
        <v>31845</v>
      </c>
      <c r="I69" s="173">
        <f>'Rekapitulacija Posebni dio'!G485</f>
        <v>31845</v>
      </c>
      <c r="J69" s="120"/>
      <c r="K69" s="120"/>
      <c r="L69" s="120"/>
      <c r="M69" s="120"/>
      <c r="N69" s="120"/>
      <c r="O69" s="120"/>
      <c r="P69" s="120"/>
    </row>
    <row r="70" spans="1:16" s="121" customFormat="1" x14ac:dyDescent="0.25">
      <c r="A70" s="190"/>
      <c r="B70" s="141" t="s">
        <v>197</v>
      </c>
      <c r="C70" s="215"/>
      <c r="D70" s="262" t="s">
        <v>200</v>
      </c>
      <c r="E70" s="178">
        <f t="shared" ref="E70:I70" si="36">E71</f>
        <v>146886.47</v>
      </c>
      <c r="F70" s="178">
        <f t="shared" si="36"/>
        <v>31000</v>
      </c>
      <c r="G70" s="178">
        <f t="shared" si="36"/>
        <v>84281.16</v>
      </c>
      <c r="H70" s="178">
        <f t="shared" si="36"/>
        <v>84281.16</v>
      </c>
      <c r="I70" s="178">
        <f t="shared" si="36"/>
        <v>84281.16</v>
      </c>
      <c r="J70" s="120"/>
      <c r="K70" s="120"/>
      <c r="L70" s="120"/>
      <c r="M70" s="120"/>
      <c r="N70" s="120"/>
      <c r="O70" s="120"/>
      <c r="P70" s="120"/>
    </row>
    <row r="71" spans="1:16" s="121" customFormat="1" x14ac:dyDescent="0.25">
      <c r="A71" s="190"/>
      <c r="B71" s="162" t="s">
        <v>199</v>
      </c>
      <c r="C71" s="234"/>
      <c r="D71" s="202" t="s">
        <v>208</v>
      </c>
      <c r="E71" s="165">
        <f t="shared" ref="E71:I72" si="37">SUM(E72)</f>
        <v>146886.47</v>
      </c>
      <c r="F71" s="165">
        <f t="shared" si="37"/>
        <v>31000</v>
      </c>
      <c r="G71" s="165">
        <f t="shared" si="37"/>
        <v>84281.16</v>
      </c>
      <c r="H71" s="165">
        <f t="shared" si="37"/>
        <v>84281.16</v>
      </c>
      <c r="I71" s="165">
        <f t="shared" si="37"/>
        <v>84281.16</v>
      </c>
      <c r="J71" s="120"/>
      <c r="K71" s="120"/>
      <c r="L71" s="120"/>
      <c r="M71" s="120"/>
      <c r="N71" s="120"/>
      <c r="O71" s="120"/>
      <c r="P71" s="120"/>
    </row>
    <row r="72" spans="1:16" s="121" customFormat="1" x14ac:dyDescent="0.25">
      <c r="A72" s="190"/>
      <c r="B72" s="162" t="s">
        <v>201</v>
      </c>
      <c r="C72" s="202"/>
      <c r="D72" s="202" t="s">
        <v>200</v>
      </c>
      <c r="E72" s="165">
        <f t="shared" si="37"/>
        <v>146886.47</v>
      </c>
      <c r="F72" s="165">
        <f t="shared" si="37"/>
        <v>31000</v>
      </c>
      <c r="G72" s="165">
        <f t="shared" si="37"/>
        <v>84281.16</v>
      </c>
      <c r="H72" s="165">
        <f t="shared" si="37"/>
        <v>84281.16</v>
      </c>
      <c r="I72" s="165">
        <f t="shared" si="37"/>
        <v>84281.16</v>
      </c>
      <c r="J72" s="120"/>
      <c r="K72" s="120"/>
      <c r="L72" s="120"/>
      <c r="M72" s="120"/>
      <c r="N72" s="120"/>
      <c r="O72" s="120"/>
      <c r="P72" s="120"/>
    </row>
    <row r="73" spans="1:16" s="121" customFormat="1" x14ac:dyDescent="0.25">
      <c r="A73" s="190"/>
      <c r="B73" s="235" t="s">
        <v>523</v>
      </c>
      <c r="C73" s="234"/>
      <c r="D73" s="234" t="s">
        <v>200</v>
      </c>
      <c r="E73" s="173">
        <f>'Rekapitulacija Posebni dio'!C489</f>
        <v>146886.47</v>
      </c>
      <c r="F73" s="173">
        <f>'Rekapitulacija Posebni dio'!D489</f>
        <v>31000</v>
      </c>
      <c r="G73" s="173">
        <f>'Rekapitulacija Posebni dio'!E489</f>
        <v>84281.16</v>
      </c>
      <c r="H73" s="173">
        <f>'Rekapitulacija Posebni dio'!F489</f>
        <v>84281.16</v>
      </c>
      <c r="I73" s="173">
        <f>'Rekapitulacija Posebni dio'!G489</f>
        <v>84281.16</v>
      </c>
      <c r="J73" s="120"/>
      <c r="K73" s="120"/>
      <c r="L73" s="120"/>
      <c r="M73" s="120"/>
      <c r="N73" s="120"/>
      <c r="O73" s="120"/>
      <c r="P73" s="120"/>
    </row>
    <row r="74" spans="1:16" s="121" customFormat="1" x14ac:dyDescent="0.25">
      <c r="A74" s="397"/>
      <c r="B74" s="397"/>
      <c r="C74" s="286">
        <v>11</v>
      </c>
      <c r="D74" s="287" t="s">
        <v>15</v>
      </c>
      <c r="E74" s="288">
        <f>E11+E58</f>
        <v>397160.43</v>
      </c>
      <c r="F74" s="288">
        <f t="shared" ref="F74:I74" si="38">F11+F58</f>
        <v>561264.02</v>
      </c>
      <c r="G74" s="288">
        <f t="shared" si="38"/>
        <v>358264.02</v>
      </c>
      <c r="H74" s="288">
        <f t="shared" si="38"/>
        <v>358264.02</v>
      </c>
      <c r="I74" s="288">
        <f t="shared" si="38"/>
        <v>358264.02</v>
      </c>
      <c r="J74" s="120"/>
      <c r="K74" s="120"/>
      <c r="L74" s="120"/>
      <c r="M74" s="120"/>
      <c r="N74" s="120"/>
      <c r="O74" s="120"/>
      <c r="P74" s="120"/>
    </row>
    <row r="75" spans="1:16" s="121" customFormat="1" x14ac:dyDescent="0.25">
      <c r="A75" s="229" t="s">
        <v>87</v>
      </c>
      <c r="B75" s="229"/>
      <c r="C75" s="230"/>
      <c r="D75" s="231" t="s">
        <v>88</v>
      </c>
      <c r="E75" s="232">
        <f t="shared" ref="E75" si="39">E76+E90+E144+E150+E153</f>
        <v>140194.37</v>
      </c>
      <c r="F75" s="232">
        <f t="shared" ref="F75:I75" si="40">F76+F90+F144+F150+F153</f>
        <v>163116.33000000002</v>
      </c>
      <c r="G75" s="232">
        <f t="shared" si="40"/>
        <v>163116.33000000002</v>
      </c>
      <c r="H75" s="232">
        <f t="shared" si="40"/>
        <v>163116.33000000002</v>
      </c>
      <c r="I75" s="232">
        <f t="shared" si="40"/>
        <v>163116.33000000002</v>
      </c>
      <c r="J75" s="120"/>
      <c r="K75" s="120"/>
      <c r="L75" s="120"/>
      <c r="M75" s="120"/>
      <c r="N75" s="120"/>
      <c r="O75" s="120"/>
      <c r="P75" s="120"/>
    </row>
    <row r="76" spans="1:16" s="121" customFormat="1" x14ac:dyDescent="0.25">
      <c r="A76" s="202"/>
      <c r="B76" s="141">
        <v>31</v>
      </c>
      <c r="C76" s="215"/>
      <c r="D76" s="233" t="s">
        <v>89</v>
      </c>
      <c r="E76" s="144">
        <f t="shared" ref="E76" si="41">E77+E84+E87</f>
        <v>62630.28</v>
      </c>
      <c r="F76" s="144">
        <f t="shared" ref="F76:I76" si="42">F77+F84+F87</f>
        <v>67928.2</v>
      </c>
      <c r="G76" s="144">
        <f t="shared" si="42"/>
        <v>67928.2</v>
      </c>
      <c r="H76" s="144">
        <f t="shared" si="42"/>
        <v>67928.2</v>
      </c>
      <c r="I76" s="144">
        <f t="shared" si="42"/>
        <v>67928.2</v>
      </c>
      <c r="J76" s="120"/>
      <c r="K76" s="120"/>
      <c r="L76" s="120"/>
      <c r="M76" s="120"/>
      <c r="N76" s="120"/>
      <c r="O76" s="120"/>
      <c r="P76" s="120"/>
    </row>
    <row r="77" spans="1:16" s="121" customFormat="1" x14ac:dyDescent="0.25">
      <c r="A77" s="202"/>
      <c r="B77" s="162">
        <v>311</v>
      </c>
      <c r="C77" s="234"/>
      <c r="D77" s="202" t="s">
        <v>90</v>
      </c>
      <c r="E77" s="165">
        <f t="shared" ref="E77" si="43">E78+E82</f>
        <v>52423.519999999997</v>
      </c>
      <c r="F77" s="165">
        <f t="shared" ref="F77:I77" si="44">F78+F82</f>
        <v>56139.759999999995</v>
      </c>
      <c r="G77" s="165">
        <f t="shared" si="44"/>
        <v>56139.759999999995</v>
      </c>
      <c r="H77" s="165">
        <f t="shared" si="44"/>
        <v>56139.759999999995</v>
      </c>
      <c r="I77" s="165">
        <f t="shared" si="44"/>
        <v>56139.759999999995</v>
      </c>
      <c r="J77" s="120"/>
      <c r="K77" s="120"/>
      <c r="L77" s="120"/>
      <c r="M77" s="120"/>
      <c r="N77" s="120"/>
      <c r="O77" s="120"/>
      <c r="P77" s="120"/>
    </row>
    <row r="78" spans="1:16" s="121" customFormat="1" x14ac:dyDescent="0.25">
      <c r="A78" s="202"/>
      <c r="B78" s="162">
        <v>3111</v>
      </c>
      <c r="C78" s="202"/>
      <c r="D78" s="202" t="s">
        <v>91</v>
      </c>
      <c r="E78" s="165">
        <f t="shared" ref="E78:I78" si="45">SUM(E79)</f>
        <v>52423.519999999997</v>
      </c>
      <c r="F78" s="165">
        <f t="shared" si="45"/>
        <v>56139.759999999995</v>
      </c>
      <c r="G78" s="165">
        <f t="shared" si="45"/>
        <v>56139.759999999995</v>
      </c>
      <c r="H78" s="165">
        <f t="shared" si="45"/>
        <v>56139.759999999995</v>
      </c>
      <c r="I78" s="165">
        <f t="shared" si="45"/>
        <v>56139.759999999995</v>
      </c>
      <c r="J78" s="120"/>
      <c r="K78" s="120"/>
      <c r="L78" s="120"/>
      <c r="M78" s="120"/>
      <c r="N78" s="120"/>
      <c r="O78" s="120"/>
      <c r="P78" s="120"/>
    </row>
    <row r="79" spans="1:16" s="121" customFormat="1" x14ac:dyDescent="0.25">
      <c r="A79" s="234"/>
      <c r="B79" s="235" t="s">
        <v>494</v>
      </c>
      <c r="C79" s="234"/>
      <c r="D79" s="234" t="s">
        <v>91</v>
      </c>
      <c r="E79" s="173">
        <f>'Rekapitulacija Posebni dio'!C199</f>
        <v>52423.519999999997</v>
      </c>
      <c r="F79" s="173">
        <f>'Rekapitulacija Posebni dio'!D199</f>
        <v>56139.759999999995</v>
      </c>
      <c r="G79" s="173">
        <f>'Rekapitulacija Posebni dio'!E199</f>
        <v>56139.759999999995</v>
      </c>
      <c r="H79" s="173">
        <f>'Rekapitulacija Posebni dio'!F199</f>
        <v>56139.759999999995</v>
      </c>
      <c r="I79" s="173">
        <f>'Rekapitulacija Posebni dio'!G199</f>
        <v>56139.759999999995</v>
      </c>
      <c r="J79" s="120"/>
      <c r="K79" s="120"/>
      <c r="L79" s="120"/>
      <c r="M79" s="120"/>
      <c r="N79" s="120"/>
      <c r="O79" s="120"/>
      <c r="P79" s="120"/>
    </row>
    <row r="80" spans="1:16" s="139" customFormat="1" hidden="1" x14ac:dyDescent="0.25">
      <c r="A80" s="234"/>
      <c r="B80" s="162" t="s">
        <v>92</v>
      </c>
      <c r="C80" s="202"/>
      <c r="D80" s="202" t="s">
        <v>93</v>
      </c>
      <c r="E80" s="165"/>
      <c r="F80" s="165"/>
      <c r="G80" s="165"/>
      <c r="H80" s="165"/>
      <c r="I80" s="165"/>
      <c r="J80" s="138"/>
      <c r="K80" s="138"/>
      <c r="L80" s="138"/>
      <c r="M80" s="138"/>
      <c r="N80" s="138"/>
      <c r="O80" s="138"/>
      <c r="P80" s="138"/>
    </row>
    <row r="81" spans="1:16" s="139" customFormat="1" hidden="1" x14ac:dyDescent="0.25">
      <c r="A81" s="234"/>
      <c r="B81" s="162" t="s">
        <v>94</v>
      </c>
      <c r="C81" s="202"/>
      <c r="D81" s="202" t="s">
        <v>95</v>
      </c>
      <c r="E81" s="165"/>
      <c r="F81" s="165"/>
      <c r="G81" s="165"/>
      <c r="H81" s="165"/>
      <c r="I81" s="165"/>
      <c r="J81" s="138"/>
      <c r="K81" s="138"/>
      <c r="L81" s="138"/>
      <c r="M81" s="138"/>
      <c r="N81" s="138"/>
      <c r="O81" s="138"/>
      <c r="P81" s="138"/>
    </row>
    <row r="82" spans="1:16" s="139" customFormat="1" hidden="1" x14ac:dyDescent="0.25">
      <c r="A82" s="234"/>
      <c r="B82" s="162" t="s">
        <v>96</v>
      </c>
      <c r="C82" s="202"/>
      <c r="D82" s="202" t="s">
        <v>97</v>
      </c>
      <c r="E82" s="165">
        <f t="shared" ref="E82:I82" si="46">SUM(E83)</f>
        <v>0</v>
      </c>
      <c r="F82" s="165">
        <f t="shared" si="46"/>
        <v>0</v>
      </c>
      <c r="G82" s="165">
        <f t="shared" si="46"/>
        <v>0</v>
      </c>
      <c r="H82" s="165">
        <f t="shared" si="46"/>
        <v>0</v>
      </c>
      <c r="I82" s="165">
        <f t="shared" si="46"/>
        <v>0</v>
      </c>
      <c r="J82" s="138"/>
      <c r="K82" s="138"/>
      <c r="L82" s="138"/>
      <c r="M82" s="138"/>
      <c r="N82" s="138"/>
      <c r="O82" s="138"/>
      <c r="P82" s="138"/>
    </row>
    <row r="83" spans="1:16" s="121" customFormat="1" ht="15.75" hidden="1" customHeight="1" x14ac:dyDescent="0.25">
      <c r="A83" s="234"/>
      <c r="B83" s="235" t="s">
        <v>497</v>
      </c>
      <c r="C83" s="234"/>
      <c r="D83" s="234" t="s">
        <v>97</v>
      </c>
      <c r="E83" s="173">
        <f>'Rekapitulacija Posebni dio'!C203</f>
        <v>0</v>
      </c>
      <c r="F83" s="173">
        <f>'Rekapitulacija Posebni dio'!D203</f>
        <v>0</v>
      </c>
      <c r="G83" s="173">
        <f>'Rekapitulacija Posebni dio'!E203</f>
        <v>0</v>
      </c>
      <c r="H83" s="173">
        <f>'Rekapitulacija Posebni dio'!F203</f>
        <v>0</v>
      </c>
      <c r="I83" s="173">
        <f>'Rekapitulacija Posebni dio'!G203</f>
        <v>0</v>
      </c>
      <c r="J83" s="120"/>
      <c r="K83" s="120"/>
      <c r="L83" s="120"/>
      <c r="M83" s="120"/>
      <c r="N83" s="120"/>
      <c r="O83" s="120"/>
      <c r="P83" s="120"/>
    </row>
    <row r="84" spans="1:16" s="121" customFormat="1" ht="15.75" customHeight="1" x14ac:dyDescent="0.25">
      <c r="A84" s="202"/>
      <c r="B84" s="162" t="s">
        <v>98</v>
      </c>
      <c r="C84" s="202"/>
      <c r="D84" s="202" t="s">
        <v>99</v>
      </c>
      <c r="E84" s="165">
        <f t="shared" ref="E84:I85" si="47">SUM(E85)</f>
        <v>2400</v>
      </c>
      <c r="F84" s="165">
        <f t="shared" si="47"/>
        <v>3981.68</v>
      </c>
      <c r="G84" s="165">
        <f t="shared" si="47"/>
        <v>3981.68</v>
      </c>
      <c r="H84" s="165">
        <f t="shared" si="47"/>
        <v>3981.68</v>
      </c>
      <c r="I84" s="165">
        <f t="shared" si="47"/>
        <v>3981.68</v>
      </c>
      <c r="J84" s="120"/>
      <c r="K84" s="120"/>
      <c r="L84" s="120"/>
      <c r="M84" s="120"/>
      <c r="N84" s="120"/>
      <c r="O84" s="120"/>
      <c r="P84" s="120"/>
    </row>
    <row r="85" spans="1:16" s="121" customFormat="1" ht="15.75" customHeight="1" x14ac:dyDescent="0.25">
      <c r="A85" s="202"/>
      <c r="B85" s="162" t="s">
        <v>100</v>
      </c>
      <c r="C85" s="202"/>
      <c r="D85" s="202" t="s">
        <v>99</v>
      </c>
      <c r="E85" s="165">
        <f t="shared" si="47"/>
        <v>2400</v>
      </c>
      <c r="F85" s="165">
        <f t="shared" si="47"/>
        <v>3981.68</v>
      </c>
      <c r="G85" s="165">
        <f t="shared" si="47"/>
        <v>3981.68</v>
      </c>
      <c r="H85" s="165">
        <f t="shared" si="47"/>
        <v>3981.68</v>
      </c>
      <c r="I85" s="165">
        <f t="shared" si="47"/>
        <v>3981.68</v>
      </c>
      <c r="J85" s="120"/>
      <c r="K85" s="120"/>
      <c r="L85" s="120"/>
      <c r="M85" s="120"/>
      <c r="N85" s="120"/>
      <c r="O85" s="120"/>
      <c r="P85" s="120"/>
    </row>
    <row r="86" spans="1:16" s="121" customFormat="1" ht="15.75" customHeight="1" x14ac:dyDescent="0.25">
      <c r="A86" s="234"/>
      <c r="B86" s="235" t="s">
        <v>503</v>
      </c>
      <c r="C86" s="234"/>
      <c r="D86" s="234" t="s">
        <v>410</v>
      </c>
      <c r="E86" s="173">
        <f>'Rekapitulacija Posebni dio'!C206</f>
        <v>2400</v>
      </c>
      <c r="F86" s="173">
        <f>'Rekapitulacija Posebni dio'!D206</f>
        <v>3981.68</v>
      </c>
      <c r="G86" s="173">
        <f>'Rekapitulacija Posebni dio'!E206</f>
        <v>3981.68</v>
      </c>
      <c r="H86" s="173">
        <f>'Rekapitulacija Posebni dio'!F206</f>
        <v>3981.68</v>
      </c>
      <c r="I86" s="173">
        <f>'Rekapitulacija Posebni dio'!G206</f>
        <v>3981.68</v>
      </c>
      <c r="J86" s="120"/>
      <c r="K86" s="120"/>
      <c r="L86" s="120"/>
      <c r="M86" s="120"/>
      <c r="N86" s="120"/>
      <c r="O86" s="120"/>
      <c r="P86" s="120"/>
    </row>
    <row r="87" spans="1:16" s="139" customFormat="1" ht="15.75" customHeight="1" x14ac:dyDescent="0.25">
      <c r="A87" s="202"/>
      <c r="B87" s="166">
        <v>313</v>
      </c>
      <c r="C87" s="202"/>
      <c r="D87" s="202" t="s">
        <v>101</v>
      </c>
      <c r="E87" s="240">
        <f t="shared" ref="E87:I88" si="48">SUM(E88)</f>
        <v>7806.76</v>
      </c>
      <c r="F87" s="240">
        <f t="shared" si="48"/>
        <v>7806.76</v>
      </c>
      <c r="G87" s="240">
        <f t="shared" si="48"/>
        <v>7806.76</v>
      </c>
      <c r="H87" s="240">
        <f t="shared" si="48"/>
        <v>7806.76</v>
      </c>
      <c r="I87" s="240">
        <f t="shared" si="48"/>
        <v>7806.76</v>
      </c>
      <c r="J87" s="138"/>
      <c r="K87" s="138"/>
      <c r="L87" s="138"/>
      <c r="M87" s="138"/>
      <c r="N87" s="138"/>
      <c r="O87" s="138"/>
      <c r="P87" s="138"/>
    </row>
    <row r="88" spans="1:16" s="139" customFormat="1" ht="15.75" customHeight="1" x14ac:dyDescent="0.25">
      <c r="A88" s="202"/>
      <c r="B88" s="166">
        <v>3132</v>
      </c>
      <c r="C88" s="202"/>
      <c r="D88" s="202" t="s">
        <v>102</v>
      </c>
      <c r="E88" s="240">
        <f t="shared" si="48"/>
        <v>7806.76</v>
      </c>
      <c r="F88" s="240">
        <f t="shared" si="48"/>
        <v>7806.76</v>
      </c>
      <c r="G88" s="240">
        <f t="shared" si="48"/>
        <v>7806.76</v>
      </c>
      <c r="H88" s="240">
        <f t="shared" si="48"/>
        <v>7806.76</v>
      </c>
      <c r="I88" s="240">
        <f t="shared" si="48"/>
        <v>7806.76</v>
      </c>
      <c r="J88" s="138"/>
      <c r="K88" s="138"/>
      <c r="L88" s="138"/>
      <c r="M88" s="138"/>
      <c r="N88" s="138"/>
      <c r="O88" s="138"/>
      <c r="P88" s="138"/>
    </row>
    <row r="89" spans="1:16" s="139" customFormat="1" ht="15.75" customHeight="1" x14ac:dyDescent="0.25">
      <c r="A89" s="234"/>
      <c r="B89" s="170" t="s">
        <v>504</v>
      </c>
      <c r="C89" s="234"/>
      <c r="D89" s="234" t="s">
        <v>102</v>
      </c>
      <c r="E89" s="241">
        <f>'Rekapitulacija Posebni dio'!C209</f>
        <v>7806.76</v>
      </c>
      <c r="F89" s="241">
        <f>'Rekapitulacija Posebni dio'!D209</f>
        <v>7806.76</v>
      </c>
      <c r="G89" s="241">
        <f>'Rekapitulacija Posebni dio'!E209</f>
        <v>7806.76</v>
      </c>
      <c r="H89" s="241">
        <f>'Rekapitulacija Posebni dio'!F209</f>
        <v>7806.76</v>
      </c>
      <c r="I89" s="241">
        <f>'Rekapitulacija Posebni dio'!G209</f>
        <v>7806.76</v>
      </c>
      <c r="J89" s="138"/>
      <c r="K89" s="138"/>
      <c r="L89" s="138"/>
      <c r="M89" s="138"/>
      <c r="N89" s="138"/>
      <c r="O89" s="138"/>
      <c r="P89" s="138"/>
    </row>
    <row r="90" spans="1:16" s="139" customFormat="1" x14ac:dyDescent="0.25">
      <c r="A90" s="202"/>
      <c r="B90" s="141">
        <v>32</v>
      </c>
      <c r="C90" s="215"/>
      <c r="D90" s="233" t="s">
        <v>103</v>
      </c>
      <c r="E90" s="144">
        <f>E91+E99+E114+E130+E134</f>
        <v>77564.090000000011</v>
      </c>
      <c r="F90" s="144">
        <f t="shared" ref="F90:I90" si="49">F91+F99+F114+F130+F134</f>
        <v>95188.130000000019</v>
      </c>
      <c r="G90" s="144">
        <f t="shared" si="49"/>
        <v>95188.130000000019</v>
      </c>
      <c r="H90" s="144">
        <f t="shared" si="49"/>
        <v>95188.130000000019</v>
      </c>
      <c r="I90" s="144">
        <f t="shared" si="49"/>
        <v>95188.130000000019</v>
      </c>
      <c r="J90" s="138"/>
      <c r="K90" s="138"/>
      <c r="L90" s="138"/>
      <c r="M90" s="138"/>
      <c r="N90" s="138"/>
      <c r="O90" s="138"/>
      <c r="P90" s="138"/>
    </row>
    <row r="91" spans="1:16" s="139" customFormat="1" ht="15.75" customHeight="1" x14ac:dyDescent="0.25">
      <c r="A91" s="202"/>
      <c r="B91" s="162">
        <v>321</v>
      </c>
      <c r="C91" s="202"/>
      <c r="D91" s="202" t="s">
        <v>104</v>
      </c>
      <c r="E91" s="165">
        <f t="shared" ref="E91" si="50">E92+E94+E96+E98</f>
        <v>12311.04</v>
      </c>
      <c r="F91" s="165">
        <f t="shared" ref="F91:I91" si="51">F92+F94+F96+F98</f>
        <v>14599.500000000002</v>
      </c>
      <c r="G91" s="165">
        <f t="shared" si="51"/>
        <v>14599.500000000002</v>
      </c>
      <c r="H91" s="165">
        <f t="shared" si="51"/>
        <v>14599.500000000002</v>
      </c>
      <c r="I91" s="165">
        <f t="shared" si="51"/>
        <v>14599.500000000002</v>
      </c>
      <c r="J91" s="138"/>
      <c r="K91" s="138"/>
      <c r="L91" s="138"/>
      <c r="M91" s="138"/>
      <c r="N91" s="138"/>
      <c r="O91" s="138"/>
      <c r="P91" s="138"/>
    </row>
    <row r="92" spans="1:16" s="139" customFormat="1" ht="15.75" customHeight="1" x14ac:dyDescent="0.25">
      <c r="A92" s="202"/>
      <c r="B92" s="162" t="s">
        <v>105</v>
      </c>
      <c r="C92" s="202"/>
      <c r="D92" s="202" t="s">
        <v>106</v>
      </c>
      <c r="E92" s="165">
        <f t="shared" ref="E92:I92" si="52">SUM(E93)</f>
        <v>463.61</v>
      </c>
      <c r="F92" s="165">
        <f t="shared" si="52"/>
        <v>663.61</v>
      </c>
      <c r="G92" s="165">
        <f t="shared" si="52"/>
        <v>663.61</v>
      </c>
      <c r="H92" s="165">
        <f t="shared" si="52"/>
        <v>663.61</v>
      </c>
      <c r="I92" s="165">
        <f t="shared" si="52"/>
        <v>663.61</v>
      </c>
      <c r="J92" s="138"/>
      <c r="K92" s="138"/>
      <c r="L92" s="138"/>
      <c r="M92" s="138"/>
      <c r="N92" s="138"/>
      <c r="O92" s="138"/>
      <c r="P92" s="138"/>
    </row>
    <row r="93" spans="1:16" s="139" customFormat="1" ht="15.75" customHeight="1" x14ac:dyDescent="0.25">
      <c r="A93" s="234"/>
      <c r="B93" s="235" t="s">
        <v>524</v>
      </c>
      <c r="C93" s="234"/>
      <c r="D93" s="234" t="s">
        <v>419</v>
      </c>
      <c r="E93" s="173">
        <f>'Rekapitulacija Posebni dio'!C213</f>
        <v>463.61</v>
      </c>
      <c r="F93" s="173">
        <f>'Rekapitulacija Posebni dio'!D213</f>
        <v>663.61</v>
      </c>
      <c r="G93" s="173">
        <f>'Rekapitulacija Posebni dio'!E213</f>
        <v>663.61</v>
      </c>
      <c r="H93" s="173">
        <f>'Rekapitulacija Posebni dio'!F213</f>
        <v>663.61</v>
      </c>
      <c r="I93" s="173">
        <f>'Rekapitulacija Posebni dio'!G213</f>
        <v>663.61</v>
      </c>
      <c r="J93" s="138"/>
      <c r="K93" s="138"/>
      <c r="L93" s="138"/>
      <c r="M93" s="138"/>
      <c r="N93" s="138"/>
      <c r="O93" s="138"/>
      <c r="P93" s="138"/>
    </row>
    <row r="94" spans="1:16" s="139" customFormat="1" ht="15.75" customHeight="1" x14ac:dyDescent="0.25">
      <c r="A94" s="234"/>
      <c r="B94" s="162" t="s">
        <v>107</v>
      </c>
      <c r="C94" s="202"/>
      <c r="D94" s="246" t="s">
        <v>108</v>
      </c>
      <c r="E94" s="165">
        <f t="shared" ref="E94:I94" si="53">SUM(E95)</f>
        <v>11383.82</v>
      </c>
      <c r="F94" s="165">
        <f t="shared" si="53"/>
        <v>13272.28</v>
      </c>
      <c r="G94" s="165">
        <f t="shared" si="53"/>
        <v>13272.28</v>
      </c>
      <c r="H94" s="165">
        <f t="shared" si="53"/>
        <v>13272.28</v>
      </c>
      <c r="I94" s="165">
        <f t="shared" si="53"/>
        <v>13272.28</v>
      </c>
      <c r="J94" s="138"/>
      <c r="K94" s="138"/>
      <c r="L94" s="138"/>
      <c r="M94" s="138"/>
      <c r="N94" s="138"/>
      <c r="O94" s="138"/>
      <c r="P94" s="138"/>
    </row>
    <row r="95" spans="1:16" s="139" customFormat="1" ht="15.75" customHeight="1" x14ac:dyDescent="0.25">
      <c r="A95" s="234"/>
      <c r="B95" s="235" t="s">
        <v>505</v>
      </c>
      <c r="C95" s="234"/>
      <c r="D95" s="244" t="s">
        <v>295</v>
      </c>
      <c r="E95" s="173">
        <f>'Rekapitulacija Posebni dio'!C215</f>
        <v>11383.82</v>
      </c>
      <c r="F95" s="173">
        <f>'Rekapitulacija Posebni dio'!D215</f>
        <v>13272.28</v>
      </c>
      <c r="G95" s="173">
        <f>'Rekapitulacija Posebni dio'!E215</f>
        <v>13272.28</v>
      </c>
      <c r="H95" s="173">
        <f>'Rekapitulacija Posebni dio'!F215</f>
        <v>13272.28</v>
      </c>
      <c r="I95" s="173">
        <f>'Rekapitulacija Posebni dio'!G215</f>
        <v>13272.28</v>
      </c>
      <c r="J95" s="138"/>
      <c r="K95" s="138"/>
      <c r="L95" s="138"/>
      <c r="M95" s="138"/>
      <c r="N95" s="138"/>
      <c r="O95" s="138"/>
      <c r="P95" s="138"/>
    </row>
    <row r="96" spans="1:16" s="139" customFormat="1" ht="15.75" customHeight="1" x14ac:dyDescent="0.25">
      <c r="A96" s="234"/>
      <c r="B96" s="162" t="s">
        <v>109</v>
      </c>
      <c r="C96" s="202"/>
      <c r="D96" s="246" t="s">
        <v>110</v>
      </c>
      <c r="E96" s="165">
        <f t="shared" ref="E96:I96" si="54">SUM(E97)</f>
        <v>463.61</v>
      </c>
      <c r="F96" s="165">
        <f t="shared" si="54"/>
        <v>663.61</v>
      </c>
      <c r="G96" s="165">
        <f t="shared" si="54"/>
        <v>663.61</v>
      </c>
      <c r="H96" s="165">
        <f t="shared" si="54"/>
        <v>663.61</v>
      </c>
      <c r="I96" s="165">
        <f t="shared" si="54"/>
        <v>663.61</v>
      </c>
      <c r="J96" s="138"/>
      <c r="K96" s="138"/>
      <c r="L96" s="138"/>
      <c r="M96" s="138"/>
      <c r="N96" s="138"/>
      <c r="O96" s="138"/>
      <c r="P96" s="138"/>
    </row>
    <row r="97" spans="1:16" s="139" customFormat="1" ht="15.75" customHeight="1" x14ac:dyDescent="0.25">
      <c r="A97" s="234"/>
      <c r="B97" s="235" t="s">
        <v>525</v>
      </c>
      <c r="C97" s="234"/>
      <c r="D97" s="244" t="s">
        <v>421</v>
      </c>
      <c r="E97" s="173">
        <f>'Rekapitulacija Posebni dio'!C217</f>
        <v>463.61</v>
      </c>
      <c r="F97" s="173">
        <f>'Rekapitulacija Posebni dio'!D217</f>
        <v>663.61</v>
      </c>
      <c r="G97" s="173">
        <f>'Rekapitulacija Posebni dio'!E217</f>
        <v>663.61</v>
      </c>
      <c r="H97" s="173">
        <f>'Rekapitulacija Posebni dio'!F217</f>
        <v>663.61</v>
      </c>
      <c r="I97" s="173">
        <f>'Rekapitulacija Posebni dio'!G217</f>
        <v>663.61</v>
      </c>
      <c r="J97" s="138"/>
      <c r="K97" s="138"/>
      <c r="L97" s="138"/>
      <c r="M97" s="138"/>
      <c r="N97" s="138"/>
      <c r="O97" s="138"/>
      <c r="P97" s="138"/>
    </row>
    <row r="98" spans="1:16" s="139" customFormat="1" ht="15.75" customHeight="1" x14ac:dyDescent="0.25">
      <c r="A98" s="234"/>
      <c r="B98" s="162" t="s">
        <v>111</v>
      </c>
      <c r="C98" s="202"/>
      <c r="D98" s="246" t="s">
        <v>112</v>
      </c>
      <c r="E98" s="165"/>
      <c r="F98" s="165"/>
      <c r="G98" s="165"/>
      <c r="H98" s="165"/>
      <c r="I98" s="165"/>
      <c r="J98" s="138"/>
      <c r="K98" s="138"/>
      <c r="L98" s="138"/>
      <c r="M98" s="138"/>
      <c r="N98" s="138"/>
      <c r="O98" s="138"/>
      <c r="P98" s="138"/>
    </row>
    <row r="99" spans="1:16" s="139" customFormat="1" ht="15.75" customHeight="1" x14ac:dyDescent="0.25">
      <c r="A99" s="202"/>
      <c r="B99" s="162" t="s">
        <v>113</v>
      </c>
      <c r="C99" s="202"/>
      <c r="D99" s="246" t="s">
        <v>114</v>
      </c>
      <c r="E99" s="165">
        <f t="shared" ref="E99" si="55">E100+E102+E105+E108+E110+E112</f>
        <v>49398.76</v>
      </c>
      <c r="F99" s="165">
        <f t="shared" ref="F99:I99" si="56">F100+F102+F105+F108+F110+F112</f>
        <v>19444.55</v>
      </c>
      <c r="G99" s="165">
        <f t="shared" si="56"/>
        <v>19444.55</v>
      </c>
      <c r="H99" s="165">
        <f t="shared" si="56"/>
        <v>19444.55</v>
      </c>
      <c r="I99" s="165">
        <f t="shared" si="56"/>
        <v>19444.55</v>
      </c>
      <c r="J99" s="138"/>
      <c r="K99" s="138"/>
      <c r="L99" s="138"/>
      <c r="M99" s="138"/>
      <c r="N99" s="138"/>
      <c r="O99" s="138"/>
      <c r="P99" s="138"/>
    </row>
    <row r="100" spans="1:16" s="139" customFormat="1" ht="15.75" customHeight="1" x14ac:dyDescent="0.25">
      <c r="A100" s="202"/>
      <c r="B100" s="162" t="s">
        <v>115</v>
      </c>
      <c r="C100" s="202"/>
      <c r="D100" s="202" t="s">
        <v>116</v>
      </c>
      <c r="E100" s="165">
        <f t="shared" ref="E100:I100" si="57">SUM(E101)</f>
        <v>639.19000000000005</v>
      </c>
      <c r="F100" s="165">
        <f t="shared" si="57"/>
        <v>639.19000000000005</v>
      </c>
      <c r="G100" s="165">
        <f t="shared" si="57"/>
        <v>639.19000000000005</v>
      </c>
      <c r="H100" s="165">
        <f t="shared" si="57"/>
        <v>639.19000000000005</v>
      </c>
      <c r="I100" s="165">
        <f t="shared" si="57"/>
        <v>639.19000000000005</v>
      </c>
      <c r="J100" s="138"/>
      <c r="K100" s="138"/>
      <c r="L100" s="138"/>
      <c r="M100" s="138"/>
      <c r="N100" s="138"/>
      <c r="O100" s="138"/>
      <c r="P100" s="138"/>
    </row>
    <row r="101" spans="1:16" s="139" customFormat="1" ht="15.75" customHeight="1" x14ac:dyDescent="0.25">
      <c r="A101" s="202"/>
      <c r="B101" s="235" t="s">
        <v>526</v>
      </c>
      <c r="C101" s="202"/>
      <c r="D101" s="234" t="s">
        <v>423</v>
      </c>
      <c r="E101" s="173">
        <f>'Rekapitulacija Posebni dio'!C221</f>
        <v>639.19000000000005</v>
      </c>
      <c r="F101" s="173">
        <f>'Rekapitulacija Posebni dio'!D221</f>
        <v>639.19000000000005</v>
      </c>
      <c r="G101" s="173">
        <f>'Rekapitulacija Posebni dio'!E221</f>
        <v>639.19000000000005</v>
      </c>
      <c r="H101" s="173">
        <f>'Rekapitulacija Posebni dio'!F221</f>
        <v>639.19000000000005</v>
      </c>
      <c r="I101" s="173">
        <f>'Rekapitulacija Posebni dio'!G221</f>
        <v>639.19000000000005</v>
      </c>
      <c r="J101" s="138"/>
      <c r="K101" s="138"/>
      <c r="L101" s="138"/>
      <c r="M101" s="138"/>
      <c r="N101" s="138"/>
      <c r="O101" s="138"/>
      <c r="P101" s="138"/>
    </row>
    <row r="102" spans="1:16" s="139" customFormat="1" ht="15.75" customHeight="1" x14ac:dyDescent="0.25">
      <c r="A102" s="202"/>
      <c r="B102" s="162" t="s">
        <v>117</v>
      </c>
      <c r="C102" s="202"/>
      <c r="D102" s="202" t="s">
        <v>118</v>
      </c>
      <c r="E102" s="165">
        <f t="shared" ref="E102" si="58">SUM(E103:E104)</f>
        <v>9954.2099999999991</v>
      </c>
      <c r="F102" s="165">
        <f t="shared" ref="F102:I102" si="59">SUM(F103:F104)</f>
        <v>0</v>
      </c>
      <c r="G102" s="165">
        <f t="shared" si="59"/>
        <v>0</v>
      </c>
      <c r="H102" s="165">
        <f t="shared" si="59"/>
        <v>0</v>
      </c>
      <c r="I102" s="165">
        <f t="shared" si="59"/>
        <v>0</v>
      </c>
      <c r="J102" s="138"/>
      <c r="K102" s="138"/>
      <c r="L102" s="138"/>
      <c r="M102" s="138"/>
      <c r="N102" s="138"/>
      <c r="O102" s="138"/>
      <c r="P102" s="138"/>
    </row>
    <row r="103" spans="1:16" s="139" customFormat="1" ht="15.75" customHeight="1" x14ac:dyDescent="0.25">
      <c r="A103" s="202"/>
      <c r="B103" s="235" t="s">
        <v>507</v>
      </c>
      <c r="C103" s="202"/>
      <c r="D103" s="234" t="s">
        <v>428</v>
      </c>
      <c r="E103" s="173">
        <f>'Rekapitulacija Posebni dio'!C223</f>
        <v>7000</v>
      </c>
      <c r="F103" s="173">
        <f>'Rekapitulacija Posebni dio'!D223</f>
        <v>0</v>
      </c>
      <c r="G103" s="173">
        <f>'Rekapitulacija Posebni dio'!E223</f>
        <v>0</v>
      </c>
      <c r="H103" s="173">
        <f>'Rekapitulacija Posebni dio'!F223</f>
        <v>0</v>
      </c>
      <c r="I103" s="173">
        <f>'Rekapitulacija Posebni dio'!G223</f>
        <v>0</v>
      </c>
      <c r="J103" s="138"/>
      <c r="K103" s="138"/>
      <c r="L103" s="138"/>
      <c r="M103" s="138"/>
      <c r="N103" s="138"/>
      <c r="O103" s="138"/>
      <c r="P103" s="138"/>
    </row>
    <row r="104" spans="1:16" s="121" customFormat="1" ht="15.75" customHeight="1" x14ac:dyDescent="0.25">
      <c r="A104" s="202"/>
      <c r="B104" s="235" t="s">
        <v>508</v>
      </c>
      <c r="C104" s="202"/>
      <c r="D104" s="234" t="s">
        <v>429</v>
      </c>
      <c r="E104" s="173">
        <f>'Rekapitulacija Posebni dio'!C224</f>
        <v>2954.21</v>
      </c>
      <c r="F104" s="173">
        <f>'Rekapitulacija Posebni dio'!D224</f>
        <v>0</v>
      </c>
      <c r="G104" s="173">
        <f>'Rekapitulacija Posebni dio'!E224</f>
        <v>0</v>
      </c>
      <c r="H104" s="173">
        <f>'Rekapitulacija Posebni dio'!F224</f>
        <v>0</v>
      </c>
      <c r="I104" s="173">
        <f>'Rekapitulacija Posebni dio'!G224</f>
        <v>0</v>
      </c>
      <c r="J104" s="120"/>
      <c r="K104" s="120"/>
      <c r="L104" s="120"/>
      <c r="M104" s="120"/>
      <c r="N104" s="120"/>
      <c r="O104" s="120"/>
      <c r="P104" s="120"/>
    </row>
    <row r="105" spans="1:16" s="121" customFormat="1" ht="15.75" customHeight="1" x14ac:dyDescent="0.25">
      <c r="A105" s="202"/>
      <c r="B105" s="162" t="s">
        <v>119</v>
      </c>
      <c r="C105" s="202"/>
      <c r="D105" s="202" t="s">
        <v>120</v>
      </c>
      <c r="E105" s="165">
        <f t="shared" ref="E105" si="60">SUM(E106:E107)</f>
        <v>38805.360000000001</v>
      </c>
      <c r="F105" s="165">
        <f t="shared" ref="F105:I105" si="61">SUM(F106:F107)</f>
        <v>18805.36</v>
      </c>
      <c r="G105" s="165">
        <f t="shared" si="61"/>
        <v>18805.36</v>
      </c>
      <c r="H105" s="165">
        <f t="shared" si="61"/>
        <v>18805.36</v>
      </c>
      <c r="I105" s="165">
        <f t="shared" si="61"/>
        <v>18805.36</v>
      </c>
      <c r="J105" s="120"/>
      <c r="K105" s="120"/>
      <c r="L105" s="120"/>
      <c r="M105" s="120"/>
      <c r="N105" s="120"/>
      <c r="O105" s="120"/>
      <c r="P105" s="120"/>
    </row>
    <row r="106" spans="1:16" s="121" customFormat="1" ht="15.75" customHeight="1" x14ac:dyDescent="0.25">
      <c r="A106" s="202"/>
      <c r="B106" s="235" t="s">
        <v>512</v>
      </c>
      <c r="C106" s="202"/>
      <c r="D106" s="234" t="s">
        <v>434</v>
      </c>
      <c r="E106" s="173">
        <f>'Rekapitulacija Posebni dio'!C226</f>
        <v>13500</v>
      </c>
      <c r="F106" s="173">
        <f>'Rekapitulacija Posebni dio'!D226</f>
        <v>13500</v>
      </c>
      <c r="G106" s="173">
        <f>'Rekapitulacija Posebni dio'!E226</f>
        <v>13500</v>
      </c>
      <c r="H106" s="173">
        <f>'Rekapitulacija Posebni dio'!F226</f>
        <v>13500</v>
      </c>
      <c r="I106" s="173">
        <f>'Rekapitulacija Posebni dio'!G226</f>
        <v>13500</v>
      </c>
      <c r="J106" s="120"/>
      <c r="K106" s="120"/>
      <c r="L106" s="120"/>
      <c r="M106" s="120"/>
      <c r="N106" s="120"/>
      <c r="O106" s="120"/>
      <c r="P106" s="120"/>
    </row>
    <row r="107" spans="1:16" s="121" customFormat="1" x14ac:dyDescent="0.25">
      <c r="A107" s="202"/>
      <c r="B107" s="235" t="s">
        <v>513</v>
      </c>
      <c r="C107" s="202"/>
      <c r="D107" s="234" t="s">
        <v>431</v>
      </c>
      <c r="E107" s="173">
        <f>'Rekapitulacija Posebni dio'!C227</f>
        <v>25305.360000000001</v>
      </c>
      <c r="F107" s="173">
        <f>'Rekapitulacija Posebni dio'!D227</f>
        <v>5305.36</v>
      </c>
      <c r="G107" s="173">
        <f>'Rekapitulacija Posebni dio'!E227</f>
        <v>5305.36</v>
      </c>
      <c r="H107" s="173">
        <f>'Rekapitulacija Posebni dio'!F227</f>
        <v>5305.36</v>
      </c>
      <c r="I107" s="173">
        <f>'Rekapitulacija Posebni dio'!G227</f>
        <v>5305.36</v>
      </c>
      <c r="J107" s="120"/>
      <c r="K107" s="120"/>
      <c r="L107" s="120"/>
      <c r="M107" s="120"/>
      <c r="N107" s="120"/>
      <c r="O107" s="120"/>
      <c r="P107" s="120"/>
    </row>
    <row r="108" spans="1:16" s="121" customFormat="1" x14ac:dyDescent="0.25">
      <c r="A108" s="202"/>
      <c r="B108" s="162" t="s">
        <v>121</v>
      </c>
      <c r="C108" s="202"/>
      <c r="D108" s="246" t="s">
        <v>560</v>
      </c>
      <c r="E108" s="165">
        <f t="shared" ref="E108:I108" si="62">SUM(E109)</f>
        <v>0</v>
      </c>
      <c r="F108" s="165">
        <f t="shared" si="62"/>
        <v>0</v>
      </c>
      <c r="G108" s="165">
        <f t="shared" si="62"/>
        <v>0</v>
      </c>
      <c r="H108" s="165">
        <f t="shared" si="62"/>
        <v>0</v>
      </c>
      <c r="I108" s="165">
        <f t="shared" si="62"/>
        <v>0</v>
      </c>
      <c r="J108" s="120"/>
      <c r="K108" s="120"/>
      <c r="L108" s="120"/>
      <c r="M108" s="120"/>
      <c r="N108" s="120"/>
      <c r="O108" s="120"/>
      <c r="P108" s="120"/>
    </row>
    <row r="109" spans="1:16" s="139" customFormat="1" ht="14.25" customHeight="1" x14ac:dyDescent="0.25">
      <c r="A109" s="202"/>
      <c r="B109" s="235" t="s">
        <v>550</v>
      </c>
      <c r="C109" s="202"/>
      <c r="D109" s="244" t="s">
        <v>561</v>
      </c>
      <c r="E109" s="173"/>
      <c r="F109" s="173"/>
      <c r="G109" s="173"/>
      <c r="H109" s="173"/>
      <c r="I109" s="173"/>
      <c r="J109" s="138"/>
      <c r="K109" s="138"/>
      <c r="L109" s="138"/>
      <c r="M109" s="138"/>
      <c r="N109" s="138"/>
      <c r="O109" s="138"/>
      <c r="P109" s="138"/>
    </row>
    <row r="110" spans="1:16" s="139" customFormat="1" x14ac:dyDescent="0.25">
      <c r="A110" s="202"/>
      <c r="B110" s="162" t="s">
        <v>123</v>
      </c>
      <c r="C110" s="202"/>
      <c r="D110" s="246" t="s">
        <v>124</v>
      </c>
      <c r="E110" s="165">
        <f t="shared" ref="E110:I110" si="63">SUM(E111)</f>
        <v>0</v>
      </c>
      <c r="F110" s="165">
        <f t="shared" si="63"/>
        <v>0</v>
      </c>
      <c r="G110" s="165">
        <f t="shared" si="63"/>
        <v>0</v>
      </c>
      <c r="H110" s="165">
        <f t="shared" si="63"/>
        <v>0</v>
      </c>
      <c r="I110" s="165">
        <f t="shared" si="63"/>
        <v>0</v>
      </c>
      <c r="J110" s="138"/>
      <c r="K110" s="138"/>
      <c r="L110" s="138"/>
      <c r="M110" s="138"/>
      <c r="N110" s="138"/>
      <c r="O110" s="138"/>
      <c r="P110" s="138"/>
    </row>
    <row r="111" spans="1:16" s="139" customFormat="1" x14ac:dyDescent="0.25">
      <c r="A111" s="202"/>
      <c r="B111" s="235" t="s">
        <v>514</v>
      </c>
      <c r="C111" s="202"/>
      <c r="D111" s="244" t="s">
        <v>124</v>
      </c>
      <c r="E111" s="173"/>
      <c r="F111" s="173"/>
      <c r="G111" s="173"/>
      <c r="H111" s="173"/>
      <c r="I111" s="173"/>
      <c r="J111" s="138"/>
      <c r="K111" s="138"/>
      <c r="L111" s="138"/>
      <c r="M111" s="138"/>
      <c r="N111" s="138"/>
      <c r="O111" s="138"/>
      <c r="P111" s="138"/>
    </row>
    <row r="112" spans="1:16" s="139" customFormat="1" hidden="1" x14ac:dyDescent="0.25">
      <c r="A112" s="202"/>
      <c r="B112" s="162" t="s">
        <v>125</v>
      </c>
      <c r="C112" s="202"/>
      <c r="D112" s="246" t="s">
        <v>126</v>
      </c>
      <c r="E112" s="165">
        <f t="shared" ref="E112:I112" si="64">SUM(E113)</f>
        <v>0</v>
      </c>
      <c r="F112" s="165">
        <f t="shared" si="64"/>
        <v>0</v>
      </c>
      <c r="G112" s="165">
        <f t="shared" si="64"/>
        <v>0</v>
      </c>
      <c r="H112" s="165">
        <f t="shared" si="64"/>
        <v>0</v>
      </c>
      <c r="I112" s="165">
        <f t="shared" si="64"/>
        <v>0</v>
      </c>
      <c r="J112" s="138"/>
      <c r="K112" s="138"/>
      <c r="L112" s="138"/>
      <c r="M112" s="138"/>
      <c r="N112" s="138"/>
      <c r="O112" s="138"/>
      <c r="P112" s="138"/>
    </row>
    <row r="113" spans="1:16" s="139" customFormat="1" hidden="1" x14ac:dyDescent="0.25">
      <c r="A113" s="202"/>
      <c r="B113" s="235" t="s">
        <v>515</v>
      </c>
      <c r="C113" s="202"/>
      <c r="D113" s="244" t="s">
        <v>126</v>
      </c>
      <c r="E113" s="173"/>
      <c r="F113" s="173"/>
      <c r="G113" s="173"/>
      <c r="H113" s="173"/>
      <c r="I113" s="173"/>
      <c r="J113" s="138"/>
      <c r="K113" s="138"/>
      <c r="L113" s="138"/>
      <c r="M113" s="138"/>
      <c r="N113" s="138"/>
      <c r="O113" s="138"/>
      <c r="P113" s="138"/>
    </row>
    <row r="114" spans="1:16" s="139" customFormat="1" x14ac:dyDescent="0.25">
      <c r="A114" s="202"/>
      <c r="B114" s="162" t="s">
        <v>127</v>
      </c>
      <c r="C114" s="202"/>
      <c r="D114" s="246" t="s">
        <v>128</v>
      </c>
      <c r="E114" s="165">
        <f t="shared" ref="E114" si="65">E115+E116+E120+E121+E122+E123+E125+E127+E128</f>
        <v>13199.83</v>
      </c>
      <c r="F114" s="165">
        <f t="shared" ref="F114:I114" si="66">F115+F116+F120+F121+F122+F123+F125+F127+F128</f>
        <v>28535.41</v>
      </c>
      <c r="G114" s="165">
        <f t="shared" si="66"/>
        <v>28535.41</v>
      </c>
      <c r="H114" s="165">
        <f t="shared" si="66"/>
        <v>28535.41</v>
      </c>
      <c r="I114" s="165">
        <f t="shared" si="66"/>
        <v>28535.41</v>
      </c>
      <c r="J114" s="138"/>
      <c r="K114" s="138"/>
      <c r="L114" s="138"/>
      <c r="M114" s="138"/>
      <c r="N114" s="138"/>
      <c r="O114" s="138"/>
      <c r="P114" s="138"/>
    </row>
    <row r="115" spans="1:16" s="139" customFormat="1" hidden="1" x14ac:dyDescent="0.25">
      <c r="A115" s="202"/>
      <c r="B115" s="162" t="s">
        <v>129</v>
      </c>
      <c r="C115" s="202"/>
      <c r="D115" s="246" t="s">
        <v>130</v>
      </c>
      <c r="E115" s="165"/>
      <c r="F115" s="165"/>
      <c r="G115" s="165"/>
      <c r="H115" s="165"/>
      <c r="I115" s="165"/>
      <c r="J115" s="138"/>
      <c r="K115" s="138"/>
      <c r="L115" s="138"/>
      <c r="M115" s="138"/>
      <c r="N115" s="138"/>
      <c r="O115" s="138"/>
      <c r="P115" s="138"/>
    </row>
    <row r="116" spans="1:16" s="139" customFormat="1" x14ac:dyDescent="0.25">
      <c r="A116" s="202"/>
      <c r="B116" s="162" t="s">
        <v>131</v>
      </c>
      <c r="C116" s="202"/>
      <c r="D116" s="246" t="s">
        <v>132</v>
      </c>
      <c r="E116" s="165">
        <f t="shared" ref="E116" si="67">SUM(E117:E119)</f>
        <v>3750</v>
      </c>
      <c r="F116" s="165">
        <f t="shared" ref="F116:I116" si="68">SUM(F117:F119)</f>
        <v>17917.580000000002</v>
      </c>
      <c r="G116" s="165">
        <f t="shared" si="68"/>
        <v>17917.580000000002</v>
      </c>
      <c r="H116" s="165">
        <f t="shared" si="68"/>
        <v>17917.580000000002</v>
      </c>
      <c r="I116" s="165">
        <f t="shared" si="68"/>
        <v>17917.580000000002</v>
      </c>
      <c r="J116" s="138"/>
      <c r="K116" s="138"/>
      <c r="L116" s="138"/>
      <c r="M116" s="138"/>
      <c r="N116" s="138"/>
      <c r="O116" s="138"/>
      <c r="P116" s="138"/>
    </row>
    <row r="117" spans="1:16" s="139" customFormat="1" x14ac:dyDescent="0.25">
      <c r="A117" s="202"/>
      <c r="B117" s="235" t="s">
        <v>538</v>
      </c>
      <c r="C117" s="202"/>
      <c r="D117" s="357" t="s">
        <v>442</v>
      </c>
      <c r="E117" s="173">
        <f>'Rekapitulacija Posebni dio'!C234</f>
        <v>0</v>
      </c>
      <c r="F117" s="173">
        <f>'Rekapitulacija Posebni dio'!D234</f>
        <v>11000</v>
      </c>
      <c r="G117" s="173">
        <f>'Rekapitulacija Posebni dio'!E234</f>
        <v>11000</v>
      </c>
      <c r="H117" s="173">
        <f>'Rekapitulacija Posebni dio'!F234</f>
        <v>11000</v>
      </c>
      <c r="I117" s="173">
        <f>'Rekapitulacija Posebni dio'!G234</f>
        <v>11000</v>
      </c>
      <c r="J117" s="138"/>
      <c r="K117" s="138"/>
      <c r="L117" s="138"/>
      <c r="M117" s="138"/>
      <c r="N117" s="138"/>
      <c r="O117" s="138"/>
      <c r="P117" s="138"/>
    </row>
    <row r="118" spans="1:16" s="139" customFormat="1" x14ac:dyDescent="0.25">
      <c r="A118" s="202"/>
      <c r="B118" s="235" t="s">
        <v>539</v>
      </c>
      <c r="C118" s="202"/>
      <c r="D118" s="357" t="s">
        <v>443</v>
      </c>
      <c r="E118" s="173">
        <f>'Rekapitulacija Posebni dio'!C235</f>
        <v>3750</v>
      </c>
      <c r="F118" s="173">
        <f>'Rekapitulacija Posebni dio'!D235</f>
        <v>3750</v>
      </c>
      <c r="G118" s="173">
        <f>'Rekapitulacija Posebni dio'!E235</f>
        <v>3750</v>
      </c>
      <c r="H118" s="173">
        <f>'Rekapitulacija Posebni dio'!F235</f>
        <v>3750</v>
      </c>
      <c r="I118" s="173">
        <f>'Rekapitulacija Posebni dio'!G235</f>
        <v>3750</v>
      </c>
      <c r="J118" s="138"/>
      <c r="K118" s="138"/>
      <c r="L118" s="138"/>
      <c r="M118" s="138"/>
      <c r="N118" s="138"/>
      <c r="O118" s="138"/>
      <c r="P118" s="138"/>
    </row>
    <row r="119" spans="1:16" s="139" customFormat="1" x14ac:dyDescent="0.25">
      <c r="A119" s="202"/>
      <c r="B119" s="235" t="s">
        <v>540</v>
      </c>
      <c r="C119" s="202"/>
      <c r="D119" s="357" t="s">
        <v>441</v>
      </c>
      <c r="E119" s="173">
        <f>'Rekapitulacija Posebni dio'!C236</f>
        <v>0</v>
      </c>
      <c r="F119" s="173">
        <f>'Rekapitulacija Posebni dio'!D236</f>
        <v>3167.5800000000017</v>
      </c>
      <c r="G119" s="173">
        <f>'Rekapitulacija Posebni dio'!E236</f>
        <v>3167.5800000000017</v>
      </c>
      <c r="H119" s="173">
        <f>'Rekapitulacija Posebni dio'!F236</f>
        <v>3167.5800000000017</v>
      </c>
      <c r="I119" s="173">
        <f>'Rekapitulacija Posebni dio'!G236</f>
        <v>3167.5800000000017</v>
      </c>
      <c r="J119" s="138"/>
      <c r="K119" s="138"/>
      <c r="L119" s="138"/>
      <c r="M119" s="138"/>
      <c r="N119" s="138"/>
      <c r="O119" s="138"/>
      <c r="P119" s="138"/>
    </row>
    <row r="120" spans="1:16" s="139" customFormat="1" hidden="1" x14ac:dyDescent="0.25">
      <c r="A120" s="202"/>
      <c r="B120" s="162" t="s">
        <v>133</v>
      </c>
      <c r="C120" s="202"/>
      <c r="D120" s="246" t="s">
        <v>134</v>
      </c>
      <c r="E120" s="165"/>
      <c r="F120" s="165"/>
      <c r="G120" s="165"/>
      <c r="H120" s="165"/>
      <c r="I120" s="165"/>
      <c r="J120" s="138"/>
      <c r="K120" s="138"/>
      <c r="L120" s="138"/>
      <c r="M120" s="138"/>
      <c r="N120" s="138"/>
      <c r="O120" s="138"/>
      <c r="P120" s="138"/>
    </row>
    <row r="121" spans="1:16" s="139" customFormat="1" hidden="1" x14ac:dyDescent="0.25">
      <c r="A121" s="202"/>
      <c r="B121" s="184" t="s">
        <v>135</v>
      </c>
      <c r="C121" s="161"/>
      <c r="D121" s="248" t="s">
        <v>136</v>
      </c>
      <c r="E121" s="165"/>
      <c r="F121" s="165"/>
      <c r="G121" s="165"/>
      <c r="H121" s="165"/>
      <c r="I121" s="165"/>
      <c r="J121" s="138"/>
      <c r="K121" s="138"/>
      <c r="L121" s="138"/>
      <c r="M121" s="138"/>
      <c r="N121" s="138"/>
      <c r="O121" s="138"/>
      <c r="P121" s="138"/>
    </row>
    <row r="122" spans="1:16" s="139" customFormat="1" hidden="1" x14ac:dyDescent="0.25">
      <c r="A122" s="202"/>
      <c r="B122" s="184">
        <v>3235</v>
      </c>
      <c r="C122" s="161"/>
      <c r="D122" s="248" t="s">
        <v>137</v>
      </c>
      <c r="E122" s="165"/>
      <c r="F122" s="165"/>
      <c r="G122" s="165"/>
      <c r="H122" s="165"/>
      <c r="I122" s="165"/>
      <c r="J122" s="138"/>
      <c r="K122" s="138"/>
      <c r="L122" s="138"/>
      <c r="M122" s="138"/>
      <c r="N122" s="138"/>
      <c r="O122" s="138"/>
      <c r="P122" s="138"/>
    </row>
    <row r="123" spans="1:16" s="139" customFormat="1" x14ac:dyDescent="0.25">
      <c r="A123" s="202"/>
      <c r="B123" s="184">
        <v>3236</v>
      </c>
      <c r="C123" s="161"/>
      <c r="D123" s="248" t="s">
        <v>138</v>
      </c>
      <c r="E123" s="165">
        <f t="shared" ref="E123:I123" si="69">SUM(E124)</f>
        <v>2654.46</v>
      </c>
      <c r="F123" s="165">
        <f t="shared" si="69"/>
        <v>2654.46</v>
      </c>
      <c r="G123" s="165">
        <f t="shared" si="69"/>
        <v>2654.46</v>
      </c>
      <c r="H123" s="165">
        <f t="shared" si="69"/>
        <v>2654.46</v>
      </c>
      <c r="I123" s="165">
        <f t="shared" si="69"/>
        <v>2654.46</v>
      </c>
      <c r="J123" s="138"/>
      <c r="K123" s="138"/>
      <c r="L123" s="138"/>
      <c r="M123" s="138"/>
      <c r="N123" s="138"/>
      <c r="O123" s="138"/>
      <c r="P123" s="138"/>
    </row>
    <row r="124" spans="1:16" s="139" customFormat="1" x14ac:dyDescent="0.25">
      <c r="A124" s="202"/>
      <c r="B124" s="187">
        <v>32369</v>
      </c>
      <c r="C124" s="140"/>
      <c r="D124" s="247" t="s">
        <v>450</v>
      </c>
      <c r="E124" s="173">
        <f>'Rekapitulacija Posebni dio'!C241</f>
        <v>2654.46</v>
      </c>
      <c r="F124" s="173">
        <f>'Rekapitulacija Posebni dio'!D241</f>
        <v>2654.46</v>
      </c>
      <c r="G124" s="173">
        <f>'Rekapitulacija Posebni dio'!E241</f>
        <v>2654.46</v>
      </c>
      <c r="H124" s="173">
        <f>'Rekapitulacija Posebni dio'!F241</f>
        <v>2654.46</v>
      </c>
      <c r="I124" s="173">
        <f>'Rekapitulacija Posebni dio'!G241</f>
        <v>2654.46</v>
      </c>
      <c r="J124" s="138"/>
      <c r="K124" s="138"/>
      <c r="L124" s="138"/>
      <c r="M124" s="138"/>
      <c r="N124" s="138"/>
      <c r="O124" s="138"/>
      <c r="P124" s="138"/>
    </row>
    <row r="125" spans="1:16" s="139" customFormat="1" x14ac:dyDescent="0.25">
      <c r="A125" s="202"/>
      <c r="B125" s="184">
        <v>3237</v>
      </c>
      <c r="C125" s="161"/>
      <c r="D125" s="248" t="s">
        <v>139</v>
      </c>
      <c r="E125" s="165">
        <f t="shared" ref="E125:I125" si="70">SUM(E126)</f>
        <v>4645.3</v>
      </c>
      <c r="F125" s="165">
        <f t="shared" si="70"/>
        <v>4645.3</v>
      </c>
      <c r="G125" s="165">
        <f t="shared" si="70"/>
        <v>4645.3</v>
      </c>
      <c r="H125" s="165">
        <f t="shared" si="70"/>
        <v>4645.3</v>
      </c>
      <c r="I125" s="165">
        <f t="shared" si="70"/>
        <v>4645.3</v>
      </c>
      <c r="J125" s="138"/>
      <c r="K125" s="138"/>
      <c r="L125" s="138"/>
      <c r="M125" s="138"/>
      <c r="N125" s="138"/>
      <c r="O125" s="138"/>
      <c r="P125" s="138"/>
    </row>
    <row r="126" spans="1:16" s="139" customFormat="1" x14ac:dyDescent="0.25">
      <c r="A126" s="202"/>
      <c r="B126" s="187">
        <v>32372</v>
      </c>
      <c r="C126" s="140"/>
      <c r="D126" s="247" t="s">
        <v>451</v>
      </c>
      <c r="E126" s="173">
        <f>'Rekapitulacija Posebni dio'!C243</f>
        <v>4645.3</v>
      </c>
      <c r="F126" s="173">
        <f>'Rekapitulacija Posebni dio'!D243</f>
        <v>4645.3</v>
      </c>
      <c r="G126" s="173">
        <f>'Rekapitulacija Posebni dio'!E243</f>
        <v>4645.3</v>
      </c>
      <c r="H126" s="173">
        <f>'Rekapitulacija Posebni dio'!F243</f>
        <v>4645.3</v>
      </c>
      <c r="I126" s="173">
        <f>'Rekapitulacija Posebni dio'!G243</f>
        <v>4645.3</v>
      </c>
      <c r="J126" s="138"/>
      <c r="K126" s="138"/>
      <c r="L126" s="138"/>
      <c r="M126" s="138"/>
      <c r="N126" s="138"/>
      <c r="O126" s="138"/>
      <c r="P126" s="138"/>
    </row>
    <row r="127" spans="1:16" s="139" customFormat="1" hidden="1" x14ac:dyDescent="0.25">
      <c r="A127" s="202"/>
      <c r="B127" s="184" t="s">
        <v>140</v>
      </c>
      <c r="C127" s="161"/>
      <c r="D127" s="248" t="s">
        <v>141</v>
      </c>
      <c r="E127" s="165"/>
      <c r="F127" s="165"/>
      <c r="G127" s="165"/>
      <c r="H127" s="165"/>
      <c r="I127" s="165"/>
      <c r="J127" s="138"/>
      <c r="K127" s="138"/>
      <c r="L127" s="138"/>
      <c r="M127" s="138"/>
      <c r="N127" s="138"/>
      <c r="O127" s="138"/>
      <c r="P127" s="138"/>
    </row>
    <row r="128" spans="1:16" s="139" customFormat="1" x14ac:dyDescent="0.25">
      <c r="A128" s="202"/>
      <c r="B128" s="184" t="s">
        <v>142</v>
      </c>
      <c r="C128" s="161"/>
      <c r="D128" s="248" t="s">
        <v>143</v>
      </c>
      <c r="E128" s="165">
        <f t="shared" ref="E128:I128" si="71">SUM(E129)</f>
        <v>2150.0700000000002</v>
      </c>
      <c r="F128" s="165">
        <f t="shared" si="71"/>
        <v>3318.07</v>
      </c>
      <c r="G128" s="165">
        <f t="shared" si="71"/>
        <v>3318.07</v>
      </c>
      <c r="H128" s="165">
        <f t="shared" si="71"/>
        <v>3318.07</v>
      </c>
      <c r="I128" s="165">
        <f t="shared" si="71"/>
        <v>3318.07</v>
      </c>
      <c r="J128" s="138"/>
      <c r="K128" s="138"/>
      <c r="L128" s="138"/>
      <c r="M128" s="138"/>
      <c r="N128" s="138"/>
      <c r="O128" s="138"/>
      <c r="P128" s="138"/>
    </row>
    <row r="129" spans="1:16" s="139" customFormat="1" ht="13.9" customHeight="1" x14ac:dyDescent="0.25">
      <c r="A129" s="234"/>
      <c r="B129" s="187">
        <v>32399</v>
      </c>
      <c r="C129" s="140"/>
      <c r="D129" s="247" t="s">
        <v>317</v>
      </c>
      <c r="E129" s="173">
        <f>'Rekapitulacija Posebni dio'!C246</f>
        <v>2150.0700000000002</v>
      </c>
      <c r="F129" s="173">
        <f>'Rekapitulacija Posebni dio'!D246</f>
        <v>3318.07</v>
      </c>
      <c r="G129" s="173">
        <f>'Rekapitulacija Posebni dio'!E246</f>
        <v>3318.07</v>
      </c>
      <c r="H129" s="173">
        <f>'Rekapitulacija Posebni dio'!F246</f>
        <v>3318.07</v>
      </c>
      <c r="I129" s="173">
        <f>'Rekapitulacija Posebni dio'!G246</f>
        <v>3318.07</v>
      </c>
      <c r="J129" s="138"/>
      <c r="K129" s="138"/>
      <c r="L129" s="138"/>
      <c r="M129" s="138"/>
      <c r="N129" s="138"/>
      <c r="O129" s="138"/>
      <c r="P129" s="138"/>
    </row>
    <row r="130" spans="1:16" s="139" customFormat="1" ht="13.9" customHeight="1" x14ac:dyDescent="0.25">
      <c r="A130" s="234"/>
      <c r="B130" s="166" t="s">
        <v>594</v>
      </c>
      <c r="C130" s="161"/>
      <c r="D130" s="168" t="s">
        <v>128</v>
      </c>
      <c r="E130" s="173">
        <f>E131</f>
        <v>0</v>
      </c>
      <c r="F130" s="173">
        <f t="shared" ref="F130:I130" si="72">F131</f>
        <v>29954.21</v>
      </c>
      <c r="G130" s="173">
        <f t="shared" si="72"/>
        <v>29954.21</v>
      </c>
      <c r="H130" s="173">
        <f t="shared" si="72"/>
        <v>29954.21</v>
      </c>
      <c r="I130" s="173">
        <f t="shared" si="72"/>
        <v>29954.21</v>
      </c>
      <c r="J130" s="138"/>
      <c r="K130" s="138"/>
      <c r="L130" s="138"/>
      <c r="M130" s="138"/>
      <c r="N130" s="138"/>
      <c r="O130" s="138"/>
      <c r="P130" s="138"/>
    </row>
    <row r="131" spans="1:16" s="139" customFormat="1" ht="13.9" customHeight="1" x14ac:dyDescent="0.25">
      <c r="A131" s="234"/>
      <c r="B131" s="166" t="s">
        <v>595</v>
      </c>
      <c r="C131" s="161"/>
      <c r="D131" s="168" t="s">
        <v>143</v>
      </c>
      <c r="E131" s="173">
        <f>E132+E133</f>
        <v>0</v>
      </c>
      <c r="F131" s="173">
        <f t="shared" ref="F131:I131" si="73">F132+F133</f>
        <v>29954.21</v>
      </c>
      <c r="G131" s="173">
        <f t="shared" si="73"/>
        <v>29954.21</v>
      </c>
      <c r="H131" s="173">
        <f t="shared" si="73"/>
        <v>29954.21</v>
      </c>
      <c r="I131" s="173">
        <f t="shared" si="73"/>
        <v>29954.21</v>
      </c>
      <c r="J131" s="138"/>
      <c r="K131" s="138"/>
      <c r="L131" s="138"/>
      <c r="M131" s="138"/>
      <c r="N131" s="138"/>
      <c r="O131" s="138"/>
      <c r="P131" s="138"/>
    </row>
    <row r="132" spans="1:16" s="139" customFormat="1" ht="13.9" customHeight="1" x14ac:dyDescent="0.25">
      <c r="A132" s="234"/>
      <c r="B132" s="170" t="s">
        <v>596</v>
      </c>
      <c r="C132" s="161"/>
      <c r="D132" s="171" t="s">
        <v>598</v>
      </c>
      <c r="E132" s="173">
        <f>'Rekapitulacija Posebni dio'!C249</f>
        <v>0</v>
      </c>
      <c r="F132" s="173">
        <f>'Rekapitulacija Posebni dio'!D249</f>
        <v>7954.21</v>
      </c>
      <c r="G132" s="173">
        <f>'Rekapitulacija Posebni dio'!E249</f>
        <v>7954.21</v>
      </c>
      <c r="H132" s="173">
        <f>'Rekapitulacija Posebni dio'!F249</f>
        <v>7954.21</v>
      </c>
      <c r="I132" s="173">
        <f>'Rekapitulacija Posebni dio'!G249</f>
        <v>7954.21</v>
      </c>
      <c r="J132" s="138"/>
      <c r="K132" s="138"/>
      <c r="L132" s="138"/>
      <c r="M132" s="138"/>
      <c r="N132" s="138"/>
      <c r="O132" s="138"/>
      <c r="P132" s="138"/>
    </row>
    <row r="133" spans="1:16" s="139" customFormat="1" ht="13.9" customHeight="1" x14ac:dyDescent="0.25">
      <c r="A133" s="234"/>
      <c r="B133" s="170" t="s">
        <v>597</v>
      </c>
      <c r="C133" s="161"/>
      <c r="D133" s="171" t="s">
        <v>599</v>
      </c>
      <c r="E133" s="173">
        <f>'Rekapitulacija Posebni dio'!C250</f>
        <v>0</v>
      </c>
      <c r="F133" s="173">
        <f>'Rekapitulacija Posebni dio'!D250</f>
        <v>22000</v>
      </c>
      <c r="G133" s="173">
        <f>'Rekapitulacija Posebni dio'!E250</f>
        <v>22000</v>
      </c>
      <c r="H133" s="173">
        <f>'Rekapitulacija Posebni dio'!F250</f>
        <v>22000</v>
      </c>
      <c r="I133" s="173">
        <f>'Rekapitulacija Posebni dio'!G250</f>
        <v>22000</v>
      </c>
      <c r="J133" s="138"/>
      <c r="K133" s="138"/>
      <c r="L133" s="138"/>
      <c r="M133" s="138"/>
      <c r="N133" s="138"/>
      <c r="O133" s="138"/>
      <c r="P133" s="138"/>
    </row>
    <row r="134" spans="1:16" s="121" customFormat="1" x14ac:dyDescent="0.25">
      <c r="A134" s="234"/>
      <c r="B134" s="184">
        <v>329</v>
      </c>
      <c r="C134" s="161"/>
      <c r="D134" s="248" t="s">
        <v>145</v>
      </c>
      <c r="E134" s="165">
        <f t="shared" ref="E134" si="74">E135+E136+E138+E140+E141+E142+E143</f>
        <v>2654.46</v>
      </c>
      <c r="F134" s="165">
        <f t="shared" ref="F134:I134" si="75">F135+F136+F138+F140+F141+F142+F143</f>
        <v>2654.46</v>
      </c>
      <c r="G134" s="165">
        <f t="shared" si="75"/>
        <v>2654.46</v>
      </c>
      <c r="H134" s="165">
        <f t="shared" si="75"/>
        <v>2654.46</v>
      </c>
      <c r="I134" s="165">
        <f t="shared" si="75"/>
        <v>2654.46</v>
      </c>
      <c r="J134" s="120"/>
      <c r="K134" s="120"/>
      <c r="L134" s="120"/>
      <c r="M134" s="120"/>
      <c r="N134" s="120"/>
      <c r="O134" s="120"/>
      <c r="P134" s="120"/>
    </row>
    <row r="135" spans="1:16" s="121" customFormat="1" ht="14.25" customHeight="1" x14ac:dyDescent="0.25">
      <c r="A135" s="234"/>
      <c r="B135" s="184" t="s">
        <v>146</v>
      </c>
      <c r="C135" s="161"/>
      <c r="D135" s="168" t="s">
        <v>147</v>
      </c>
      <c r="E135" s="165"/>
      <c r="F135" s="165"/>
      <c r="G135" s="165"/>
      <c r="H135" s="165"/>
      <c r="I135" s="165"/>
      <c r="J135" s="120"/>
      <c r="K135" s="120"/>
      <c r="L135" s="120"/>
      <c r="M135" s="120"/>
      <c r="N135" s="120"/>
      <c r="O135" s="120"/>
      <c r="P135" s="120"/>
    </row>
    <row r="136" spans="1:16" s="121" customFormat="1" x14ac:dyDescent="0.25">
      <c r="A136" s="234"/>
      <c r="B136" s="184">
        <v>3292</v>
      </c>
      <c r="C136" s="161"/>
      <c r="D136" s="248" t="s">
        <v>148</v>
      </c>
      <c r="E136" s="165">
        <f t="shared" ref="E136:I136" si="76">SUM(E137)</f>
        <v>2654.46</v>
      </c>
      <c r="F136" s="165">
        <f t="shared" si="76"/>
        <v>2654.46</v>
      </c>
      <c r="G136" s="165">
        <f t="shared" si="76"/>
        <v>2654.46</v>
      </c>
      <c r="H136" s="165">
        <f t="shared" si="76"/>
        <v>2654.46</v>
      </c>
      <c r="I136" s="165">
        <f t="shared" si="76"/>
        <v>2654.46</v>
      </c>
      <c r="J136" s="120"/>
      <c r="K136" s="120"/>
      <c r="L136" s="120"/>
      <c r="M136" s="120"/>
      <c r="N136" s="120"/>
      <c r="O136" s="120"/>
      <c r="P136" s="120"/>
    </row>
    <row r="137" spans="1:16" s="121" customFormat="1" x14ac:dyDescent="0.25">
      <c r="A137" s="234"/>
      <c r="B137" s="187" t="s">
        <v>530</v>
      </c>
      <c r="C137" s="140"/>
      <c r="D137" s="357" t="s">
        <v>531</v>
      </c>
      <c r="E137" s="173">
        <f>'Rekapitulacija Posebni dio'!C253</f>
        <v>2654.46</v>
      </c>
      <c r="F137" s="173">
        <f>'Rekapitulacija Posebni dio'!D253</f>
        <v>2654.46</v>
      </c>
      <c r="G137" s="173">
        <f>'Rekapitulacija Posebni dio'!E253</f>
        <v>2654.46</v>
      </c>
      <c r="H137" s="173">
        <f>'Rekapitulacija Posebni dio'!F253</f>
        <v>2654.46</v>
      </c>
      <c r="I137" s="173">
        <f>'Rekapitulacija Posebni dio'!G253</f>
        <v>2654.46</v>
      </c>
      <c r="J137" s="120"/>
      <c r="K137" s="120"/>
      <c r="L137" s="120"/>
      <c r="M137" s="120"/>
      <c r="N137" s="120"/>
      <c r="O137" s="120"/>
      <c r="P137" s="120"/>
    </row>
    <row r="138" spans="1:16" s="121" customFormat="1" x14ac:dyDescent="0.25">
      <c r="A138" s="234"/>
      <c r="B138" s="184">
        <v>3293</v>
      </c>
      <c r="C138" s="161"/>
      <c r="D138" s="248" t="s">
        <v>149</v>
      </c>
      <c r="E138" s="165">
        <f t="shared" ref="E138:I138" si="77">SUM(E139)</f>
        <v>0</v>
      </c>
      <c r="F138" s="165">
        <f t="shared" si="77"/>
        <v>0</v>
      </c>
      <c r="G138" s="165">
        <f t="shared" si="77"/>
        <v>0</v>
      </c>
      <c r="H138" s="165">
        <f t="shared" si="77"/>
        <v>0</v>
      </c>
      <c r="I138" s="165">
        <f t="shared" si="77"/>
        <v>0</v>
      </c>
      <c r="J138" s="120"/>
      <c r="K138" s="120"/>
      <c r="L138" s="120"/>
      <c r="M138" s="120"/>
      <c r="N138" s="120"/>
      <c r="O138" s="120"/>
      <c r="P138" s="120"/>
    </row>
    <row r="139" spans="1:16" s="121" customFormat="1" x14ac:dyDescent="0.25">
      <c r="A139" s="234"/>
      <c r="B139" s="187">
        <v>32931</v>
      </c>
      <c r="C139" s="140"/>
      <c r="D139" s="247" t="s">
        <v>149</v>
      </c>
      <c r="E139" s="173"/>
      <c r="F139" s="173"/>
      <c r="G139" s="173"/>
      <c r="H139" s="173"/>
      <c r="I139" s="173"/>
      <c r="J139" s="120"/>
      <c r="K139" s="120"/>
      <c r="L139" s="120"/>
      <c r="M139" s="120"/>
      <c r="N139" s="120"/>
      <c r="O139" s="120"/>
      <c r="P139" s="120"/>
    </row>
    <row r="140" spans="1:16" s="271" customFormat="1" hidden="1" x14ac:dyDescent="0.25">
      <c r="A140" s="234"/>
      <c r="B140" s="184">
        <v>3294</v>
      </c>
      <c r="C140" s="161"/>
      <c r="D140" s="248" t="s">
        <v>150</v>
      </c>
      <c r="E140" s="165"/>
      <c r="F140" s="165"/>
      <c r="G140" s="165"/>
      <c r="H140" s="165"/>
      <c r="I140" s="165"/>
      <c r="J140" s="270"/>
      <c r="K140" s="270"/>
      <c r="L140" s="270"/>
      <c r="M140" s="270"/>
      <c r="N140" s="270"/>
      <c r="O140" s="270"/>
      <c r="P140" s="270"/>
    </row>
    <row r="141" spans="1:16" s="273" customFormat="1" hidden="1" x14ac:dyDescent="0.25">
      <c r="A141" s="234"/>
      <c r="B141" s="179">
        <v>3295</v>
      </c>
      <c r="C141" s="161"/>
      <c r="D141" s="252" t="s">
        <v>151</v>
      </c>
      <c r="E141" s="165"/>
      <c r="F141" s="165"/>
      <c r="G141" s="165"/>
      <c r="H141" s="165"/>
      <c r="I141" s="165"/>
      <c r="J141" s="272"/>
      <c r="K141" s="272"/>
      <c r="L141" s="272"/>
      <c r="M141" s="272"/>
      <c r="N141" s="272"/>
      <c r="O141" s="272"/>
      <c r="P141" s="272"/>
    </row>
    <row r="142" spans="1:16" s="275" customFormat="1" hidden="1" x14ac:dyDescent="0.25">
      <c r="A142" s="234"/>
      <c r="B142" s="179">
        <v>3296</v>
      </c>
      <c r="C142" s="161"/>
      <c r="D142" s="252" t="s">
        <v>152</v>
      </c>
      <c r="E142" s="165"/>
      <c r="F142" s="165"/>
      <c r="G142" s="165"/>
      <c r="H142" s="165"/>
      <c r="I142" s="165"/>
      <c r="J142" s="274"/>
      <c r="K142" s="274"/>
      <c r="L142" s="274"/>
      <c r="M142" s="274"/>
      <c r="N142" s="274"/>
      <c r="O142" s="274"/>
      <c r="P142" s="274"/>
    </row>
    <row r="143" spans="1:16" s="275" customFormat="1" hidden="1" x14ac:dyDescent="0.25">
      <c r="A143" s="234"/>
      <c r="B143" s="179" t="s">
        <v>153</v>
      </c>
      <c r="C143" s="161"/>
      <c r="D143" s="252" t="s">
        <v>145</v>
      </c>
      <c r="E143" s="165"/>
      <c r="F143" s="165"/>
      <c r="G143" s="165"/>
      <c r="H143" s="165"/>
      <c r="I143" s="165"/>
      <c r="J143" s="274"/>
      <c r="K143" s="274"/>
      <c r="L143" s="274"/>
      <c r="M143" s="274"/>
      <c r="N143" s="274"/>
      <c r="O143" s="274"/>
      <c r="P143" s="274"/>
    </row>
    <row r="144" spans="1:16" s="275" customFormat="1" hidden="1" x14ac:dyDescent="0.25">
      <c r="A144" s="234"/>
      <c r="B144" s="141">
        <v>34</v>
      </c>
      <c r="C144" s="215"/>
      <c r="D144" s="233" t="s">
        <v>154</v>
      </c>
      <c r="E144" s="178">
        <f t="shared" ref="E144:I144" si="78">SUM(E145)</f>
        <v>0</v>
      </c>
      <c r="F144" s="178">
        <f t="shared" si="78"/>
        <v>0</v>
      </c>
      <c r="G144" s="178">
        <f t="shared" si="78"/>
        <v>0</v>
      </c>
      <c r="H144" s="178">
        <f t="shared" si="78"/>
        <v>0</v>
      </c>
      <c r="I144" s="178">
        <f t="shared" si="78"/>
        <v>0</v>
      </c>
      <c r="J144" s="274"/>
      <c r="K144" s="274"/>
      <c r="L144" s="274"/>
      <c r="M144" s="274"/>
      <c r="N144" s="274"/>
      <c r="O144" s="274"/>
      <c r="P144" s="274"/>
    </row>
    <row r="145" spans="1:16" s="275" customFormat="1" hidden="1" x14ac:dyDescent="0.25">
      <c r="A145" s="234"/>
      <c r="B145" s="184">
        <v>343</v>
      </c>
      <c r="C145" s="161"/>
      <c r="D145" s="248" t="s">
        <v>155</v>
      </c>
      <c r="E145" s="165">
        <f t="shared" ref="E145" si="79">SUM(E146:E149)</f>
        <v>0</v>
      </c>
      <c r="F145" s="165">
        <f t="shared" ref="F145:I145" si="80">SUM(F146:F149)</f>
        <v>0</v>
      </c>
      <c r="G145" s="165">
        <f t="shared" si="80"/>
        <v>0</v>
      </c>
      <c r="H145" s="165">
        <f t="shared" si="80"/>
        <v>0</v>
      </c>
      <c r="I145" s="165">
        <f t="shared" si="80"/>
        <v>0</v>
      </c>
      <c r="J145" s="274"/>
      <c r="K145" s="274"/>
      <c r="L145" s="274"/>
      <c r="M145" s="274"/>
      <c r="N145" s="274"/>
      <c r="O145" s="274"/>
      <c r="P145" s="274"/>
    </row>
    <row r="146" spans="1:16" s="226" customFormat="1" hidden="1" x14ac:dyDescent="0.25">
      <c r="A146" s="234"/>
      <c r="B146" s="187" t="s">
        <v>156</v>
      </c>
      <c r="C146" s="140"/>
      <c r="D146" s="247" t="s">
        <v>157</v>
      </c>
      <c r="E146" s="173"/>
      <c r="F146" s="173"/>
      <c r="G146" s="173"/>
      <c r="H146" s="173"/>
      <c r="I146" s="173"/>
      <c r="J146" s="276"/>
      <c r="K146" s="276"/>
      <c r="L146" s="276"/>
      <c r="M146" s="276"/>
      <c r="N146" s="276"/>
      <c r="O146" s="276"/>
      <c r="P146" s="276"/>
    </row>
    <row r="147" spans="1:16" s="226" customFormat="1" hidden="1" x14ac:dyDescent="0.25">
      <c r="A147" s="234"/>
      <c r="B147" s="187">
        <v>3432</v>
      </c>
      <c r="C147" s="140"/>
      <c r="D147" s="247" t="s">
        <v>206</v>
      </c>
      <c r="E147" s="173"/>
      <c r="F147" s="173"/>
      <c r="G147" s="173"/>
      <c r="H147" s="173"/>
      <c r="I147" s="173"/>
      <c r="J147" s="276"/>
      <c r="K147" s="276"/>
      <c r="L147" s="276"/>
      <c r="M147" s="276"/>
      <c r="N147" s="276"/>
      <c r="O147" s="276"/>
      <c r="P147" s="276"/>
    </row>
    <row r="148" spans="1:16" s="271" customFormat="1" hidden="1" x14ac:dyDescent="0.25">
      <c r="A148" s="234"/>
      <c r="B148" s="194">
        <v>3433</v>
      </c>
      <c r="C148" s="140"/>
      <c r="D148" s="249" t="s">
        <v>158</v>
      </c>
      <c r="E148" s="173"/>
      <c r="F148" s="173"/>
      <c r="G148" s="173"/>
      <c r="H148" s="173"/>
      <c r="I148" s="173"/>
      <c r="J148" s="270"/>
      <c r="K148" s="270"/>
      <c r="L148" s="270"/>
      <c r="M148" s="270"/>
      <c r="N148" s="270"/>
      <c r="O148" s="270"/>
      <c r="P148" s="270"/>
    </row>
    <row r="149" spans="1:16" s="271" customFormat="1" hidden="1" x14ac:dyDescent="0.25">
      <c r="A149" s="234"/>
      <c r="B149" s="194">
        <v>3434</v>
      </c>
      <c r="C149" s="140"/>
      <c r="D149" s="249" t="s">
        <v>159</v>
      </c>
      <c r="E149" s="173"/>
      <c r="F149" s="173"/>
      <c r="G149" s="173"/>
      <c r="H149" s="173"/>
      <c r="I149" s="173"/>
      <c r="J149" s="270"/>
      <c r="K149" s="270"/>
      <c r="L149" s="270"/>
      <c r="M149" s="270"/>
      <c r="N149" s="270"/>
      <c r="O149" s="270"/>
      <c r="P149" s="270"/>
    </row>
    <row r="150" spans="1:16" s="371" customFormat="1" hidden="1" x14ac:dyDescent="0.25">
      <c r="A150" s="234"/>
      <c r="B150" s="175">
        <v>37</v>
      </c>
      <c r="C150" s="215"/>
      <c r="D150" s="364" t="s">
        <v>163</v>
      </c>
      <c r="E150" s="369">
        <f t="shared" ref="E150:I151" si="81">SUM(E151)</f>
        <v>0</v>
      </c>
      <c r="F150" s="369">
        <f t="shared" si="81"/>
        <v>0</v>
      </c>
      <c r="G150" s="369">
        <f t="shared" si="81"/>
        <v>0</v>
      </c>
      <c r="H150" s="369">
        <f t="shared" si="81"/>
        <v>0</v>
      </c>
      <c r="I150" s="369">
        <f t="shared" si="81"/>
        <v>0</v>
      </c>
      <c r="J150" s="370"/>
      <c r="K150" s="370"/>
      <c r="L150" s="370"/>
      <c r="M150" s="370"/>
      <c r="N150" s="370"/>
      <c r="O150" s="370"/>
      <c r="P150" s="370"/>
    </row>
    <row r="151" spans="1:16" s="371" customFormat="1" hidden="1" x14ac:dyDescent="0.25">
      <c r="A151" s="234"/>
      <c r="B151" s="179">
        <v>372</v>
      </c>
      <c r="C151" s="202"/>
      <c r="D151" s="365" t="s">
        <v>164</v>
      </c>
      <c r="E151" s="372">
        <f t="shared" si="81"/>
        <v>0</v>
      </c>
      <c r="F151" s="372">
        <f t="shared" si="81"/>
        <v>0</v>
      </c>
      <c r="G151" s="372">
        <f t="shared" si="81"/>
        <v>0</v>
      </c>
      <c r="H151" s="372">
        <f t="shared" si="81"/>
        <v>0</v>
      </c>
      <c r="I151" s="372">
        <f t="shared" si="81"/>
        <v>0</v>
      </c>
      <c r="J151" s="370"/>
      <c r="K151" s="370"/>
      <c r="L151" s="370"/>
      <c r="M151" s="370"/>
      <c r="N151" s="370"/>
      <c r="O151" s="370"/>
      <c r="P151" s="370"/>
    </row>
    <row r="152" spans="1:16" s="347" customFormat="1" hidden="1" x14ac:dyDescent="0.25">
      <c r="A152" s="373"/>
      <c r="B152" s="374">
        <v>3721</v>
      </c>
      <c r="C152" s="373"/>
      <c r="D152" s="255" t="s">
        <v>165</v>
      </c>
      <c r="E152" s="375"/>
      <c r="F152" s="375"/>
      <c r="G152" s="375"/>
      <c r="H152" s="375"/>
      <c r="I152" s="375"/>
    </row>
    <row r="153" spans="1:16" hidden="1" x14ac:dyDescent="0.25">
      <c r="A153" s="234"/>
      <c r="B153" s="141" t="s">
        <v>166</v>
      </c>
      <c r="C153" s="215"/>
      <c r="D153" s="233" t="s">
        <v>99</v>
      </c>
      <c r="E153" s="178">
        <f t="shared" ref="E153" si="82">E156+E154</f>
        <v>0</v>
      </c>
      <c r="F153" s="178">
        <f t="shared" ref="F153:I153" si="83">F156+F154</f>
        <v>0</v>
      </c>
      <c r="G153" s="178">
        <f t="shared" si="83"/>
        <v>0</v>
      </c>
      <c r="H153" s="178">
        <f t="shared" si="83"/>
        <v>0</v>
      </c>
      <c r="I153" s="178">
        <f t="shared" si="83"/>
        <v>0</v>
      </c>
      <c r="J153" s="138"/>
      <c r="K153" s="200"/>
    </row>
    <row r="154" spans="1:16" hidden="1" x14ac:dyDescent="0.25">
      <c r="A154" s="234"/>
      <c r="B154" s="162" t="s">
        <v>167</v>
      </c>
      <c r="C154" s="202"/>
      <c r="D154" s="256" t="s">
        <v>69</v>
      </c>
      <c r="E154" s="165">
        <f t="shared" ref="E154:I154" si="84">SUM(E155)</f>
        <v>0</v>
      </c>
      <c r="F154" s="165">
        <f t="shared" si="84"/>
        <v>0</v>
      </c>
      <c r="G154" s="165">
        <f t="shared" si="84"/>
        <v>0</v>
      </c>
      <c r="H154" s="165">
        <f t="shared" si="84"/>
        <v>0</v>
      </c>
      <c r="I154" s="165">
        <f t="shared" si="84"/>
        <v>0</v>
      </c>
      <c r="J154" s="138"/>
      <c r="K154" s="200"/>
    </row>
    <row r="155" spans="1:16" hidden="1" x14ac:dyDescent="0.25">
      <c r="A155" s="234"/>
      <c r="B155" s="235" t="s">
        <v>169</v>
      </c>
      <c r="C155" s="234"/>
      <c r="D155" s="257" t="s">
        <v>168</v>
      </c>
      <c r="E155" s="173"/>
      <c r="F155" s="173"/>
      <c r="G155" s="173"/>
      <c r="H155" s="173"/>
      <c r="I155" s="173"/>
      <c r="J155" s="138"/>
      <c r="K155" s="200"/>
    </row>
    <row r="156" spans="1:16" hidden="1" x14ac:dyDescent="0.25">
      <c r="A156" s="234"/>
      <c r="B156" s="179">
        <v>383</v>
      </c>
      <c r="C156" s="161"/>
      <c r="D156" s="252" t="s">
        <v>170</v>
      </c>
      <c r="E156" s="165">
        <f t="shared" ref="E156" si="85">SUM(E157:E158)</f>
        <v>0</v>
      </c>
      <c r="F156" s="165">
        <f t="shared" ref="F156:I156" si="86">SUM(F157:F158)</f>
        <v>0</v>
      </c>
      <c r="G156" s="165">
        <f t="shared" si="86"/>
        <v>0</v>
      </c>
      <c r="H156" s="165">
        <f t="shared" si="86"/>
        <v>0</v>
      </c>
      <c r="I156" s="165">
        <f t="shared" si="86"/>
        <v>0</v>
      </c>
      <c r="K156" s="138"/>
    </row>
    <row r="157" spans="1:16" hidden="1" x14ac:dyDescent="0.25">
      <c r="A157" s="234"/>
      <c r="B157" s="194">
        <v>3834</v>
      </c>
      <c r="C157" s="140"/>
      <c r="D157" s="249" t="s">
        <v>173</v>
      </c>
      <c r="E157" s="173"/>
      <c r="F157" s="173"/>
      <c r="G157" s="173"/>
      <c r="H157" s="173"/>
      <c r="I157" s="173"/>
    </row>
    <row r="158" spans="1:16" hidden="1" x14ac:dyDescent="0.25">
      <c r="A158" s="234"/>
      <c r="B158" s="194">
        <v>3835</v>
      </c>
      <c r="C158" s="140"/>
      <c r="D158" s="249" t="s">
        <v>174</v>
      </c>
      <c r="E158" s="173"/>
      <c r="F158" s="173"/>
      <c r="G158" s="173"/>
      <c r="H158" s="173"/>
      <c r="I158" s="173"/>
    </row>
    <row r="159" spans="1:16" x14ac:dyDescent="0.25">
      <c r="A159" s="258">
        <v>4</v>
      </c>
      <c r="B159" s="259"/>
      <c r="C159" s="260"/>
      <c r="D159" s="261" t="s">
        <v>175</v>
      </c>
      <c r="E159" s="214">
        <f t="shared" ref="E159" si="87">E160+E163</f>
        <v>0</v>
      </c>
      <c r="F159" s="214">
        <f t="shared" ref="F159:I159" si="88">F160+F163</f>
        <v>0</v>
      </c>
      <c r="G159" s="214">
        <f t="shared" si="88"/>
        <v>0</v>
      </c>
      <c r="H159" s="214">
        <f t="shared" si="88"/>
        <v>0</v>
      </c>
      <c r="I159" s="214">
        <f t="shared" si="88"/>
        <v>0</v>
      </c>
    </row>
    <row r="160" spans="1:16" hidden="1" x14ac:dyDescent="0.25">
      <c r="A160" s="167"/>
      <c r="B160" s="141" t="s">
        <v>176</v>
      </c>
      <c r="C160" s="215"/>
      <c r="D160" s="262" t="s">
        <v>177</v>
      </c>
      <c r="E160" s="178">
        <f t="shared" ref="E160:I161" si="89">SUM(E161)</f>
        <v>0</v>
      </c>
      <c r="F160" s="178">
        <f t="shared" si="89"/>
        <v>0</v>
      </c>
      <c r="G160" s="178">
        <f t="shared" si="89"/>
        <v>0</v>
      </c>
      <c r="H160" s="178">
        <f t="shared" si="89"/>
        <v>0</v>
      </c>
      <c r="I160" s="178">
        <f t="shared" si="89"/>
        <v>0</v>
      </c>
    </row>
    <row r="161" spans="1:9" hidden="1" x14ac:dyDescent="0.25">
      <c r="A161" s="167"/>
      <c r="B161" s="184">
        <v>412</v>
      </c>
      <c r="C161" s="166"/>
      <c r="D161" s="265" t="s">
        <v>182</v>
      </c>
      <c r="E161" s="165">
        <f t="shared" si="89"/>
        <v>0</v>
      </c>
      <c r="F161" s="165">
        <f t="shared" si="89"/>
        <v>0</v>
      </c>
      <c r="G161" s="165">
        <f t="shared" si="89"/>
        <v>0</v>
      </c>
      <c r="H161" s="165">
        <f t="shared" si="89"/>
        <v>0</v>
      </c>
      <c r="I161" s="165">
        <f t="shared" si="89"/>
        <v>0</v>
      </c>
    </row>
    <row r="162" spans="1:9" hidden="1" x14ac:dyDescent="0.25">
      <c r="A162" s="190"/>
      <c r="B162" s="184">
        <v>4123</v>
      </c>
      <c r="C162" s="166"/>
      <c r="D162" s="265" t="s">
        <v>183</v>
      </c>
      <c r="E162" s="173"/>
      <c r="F162" s="173"/>
      <c r="G162" s="173"/>
      <c r="H162" s="173"/>
      <c r="I162" s="173"/>
    </row>
    <row r="163" spans="1:9" hidden="1" x14ac:dyDescent="0.25">
      <c r="A163" s="234"/>
      <c r="B163" s="141">
        <v>42</v>
      </c>
      <c r="C163" s="215"/>
      <c r="D163" s="233" t="s">
        <v>184</v>
      </c>
      <c r="E163" s="178">
        <f t="shared" ref="E163" si="90">SUM(E164,E166,E176,E178)</f>
        <v>0</v>
      </c>
      <c r="F163" s="178">
        <f t="shared" ref="F163:I163" si="91">SUM(F164,F166,F176,F178)</f>
        <v>0</v>
      </c>
      <c r="G163" s="178">
        <f t="shared" si="91"/>
        <v>0</v>
      </c>
      <c r="H163" s="178">
        <f t="shared" si="91"/>
        <v>0</v>
      </c>
      <c r="I163" s="178">
        <f t="shared" si="91"/>
        <v>0</v>
      </c>
    </row>
    <row r="164" spans="1:9" hidden="1" x14ac:dyDescent="0.25">
      <c r="A164" s="234"/>
      <c r="B164" s="162" t="s">
        <v>207</v>
      </c>
      <c r="C164" s="202"/>
      <c r="D164" s="256" t="s">
        <v>208</v>
      </c>
      <c r="E164" s="165">
        <f t="shared" ref="E164:I164" si="92">SUM(E165)</f>
        <v>0</v>
      </c>
      <c r="F164" s="165">
        <f t="shared" si="92"/>
        <v>0</v>
      </c>
      <c r="G164" s="165">
        <f t="shared" si="92"/>
        <v>0</v>
      </c>
      <c r="H164" s="165">
        <f t="shared" si="92"/>
        <v>0</v>
      </c>
      <c r="I164" s="165">
        <f t="shared" si="92"/>
        <v>0</v>
      </c>
    </row>
    <row r="165" spans="1:9" hidden="1" x14ac:dyDescent="0.25">
      <c r="A165" s="234"/>
      <c r="B165" s="235" t="s">
        <v>209</v>
      </c>
      <c r="C165" s="234"/>
      <c r="D165" s="257" t="s">
        <v>210</v>
      </c>
      <c r="E165" s="173"/>
      <c r="F165" s="173"/>
      <c r="G165" s="173"/>
      <c r="H165" s="173"/>
      <c r="I165" s="173"/>
    </row>
    <row r="166" spans="1:9" hidden="1" x14ac:dyDescent="0.25">
      <c r="A166" s="234"/>
      <c r="B166" s="162">
        <v>422</v>
      </c>
      <c r="C166" s="234"/>
      <c r="D166" s="202" t="s">
        <v>185</v>
      </c>
      <c r="E166" s="165">
        <f t="shared" ref="E166" si="93">E167+E170+E174</f>
        <v>0</v>
      </c>
      <c r="F166" s="165">
        <f t="shared" ref="F166:I166" si="94">F167+F170+F174</f>
        <v>0</v>
      </c>
      <c r="G166" s="165">
        <f t="shared" si="94"/>
        <v>0</v>
      </c>
      <c r="H166" s="165">
        <f t="shared" si="94"/>
        <v>0</v>
      </c>
      <c r="I166" s="165">
        <f t="shared" si="94"/>
        <v>0</v>
      </c>
    </row>
    <row r="167" spans="1:9" hidden="1" x14ac:dyDescent="0.25">
      <c r="A167" s="234"/>
      <c r="B167" s="162" t="s">
        <v>186</v>
      </c>
      <c r="C167" s="202"/>
      <c r="D167" s="202" t="s">
        <v>187</v>
      </c>
      <c r="E167" s="165">
        <f t="shared" ref="E167:I167" si="95">SUM(E168)</f>
        <v>0</v>
      </c>
      <c r="F167" s="165">
        <f t="shared" si="95"/>
        <v>0</v>
      </c>
      <c r="G167" s="165">
        <f t="shared" si="95"/>
        <v>0</v>
      </c>
      <c r="H167" s="165">
        <f t="shared" si="95"/>
        <v>0</v>
      </c>
      <c r="I167" s="165">
        <f t="shared" si="95"/>
        <v>0</v>
      </c>
    </row>
    <row r="168" spans="1:9" hidden="1" x14ac:dyDescent="0.25">
      <c r="A168" s="234"/>
      <c r="B168" s="235" t="s">
        <v>536</v>
      </c>
      <c r="C168" s="234"/>
      <c r="D168" s="234" t="s">
        <v>474</v>
      </c>
      <c r="E168" s="173"/>
      <c r="F168" s="173"/>
      <c r="G168" s="173"/>
      <c r="H168" s="173"/>
      <c r="I168" s="173"/>
    </row>
    <row r="169" spans="1:9" hidden="1" x14ac:dyDescent="0.25">
      <c r="A169" s="234"/>
      <c r="B169" s="235" t="s">
        <v>188</v>
      </c>
      <c r="C169" s="234"/>
      <c r="D169" s="234" t="s">
        <v>189</v>
      </c>
      <c r="E169" s="173"/>
      <c r="F169" s="173"/>
      <c r="G169" s="173"/>
      <c r="H169" s="173"/>
      <c r="I169" s="173"/>
    </row>
    <row r="170" spans="1:9" hidden="1" x14ac:dyDescent="0.25">
      <c r="A170" s="234"/>
      <c r="B170" s="184">
        <v>4223</v>
      </c>
      <c r="C170" s="166"/>
      <c r="D170" s="265" t="s">
        <v>190</v>
      </c>
      <c r="E170" s="165">
        <f t="shared" ref="E170:I170" si="96">SUM(E171)</f>
        <v>0</v>
      </c>
      <c r="F170" s="165">
        <f t="shared" si="96"/>
        <v>0</v>
      </c>
      <c r="G170" s="165">
        <f t="shared" si="96"/>
        <v>0</v>
      </c>
      <c r="H170" s="165">
        <f t="shared" si="96"/>
        <v>0</v>
      </c>
      <c r="I170" s="165">
        <f t="shared" si="96"/>
        <v>0</v>
      </c>
    </row>
    <row r="171" spans="1:9" hidden="1" x14ac:dyDescent="0.25">
      <c r="A171" s="190"/>
      <c r="B171" s="187">
        <v>42231</v>
      </c>
      <c r="C171" s="170"/>
      <c r="D171" s="266" t="s">
        <v>477</v>
      </c>
      <c r="E171" s="173"/>
      <c r="F171" s="173"/>
      <c r="G171" s="173"/>
      <c r="H171" s="173"/>
      <c r="I171" s="173"/>
    </row>
    <row r="172" spans="1:9" hidden="1" x14ac:dyDescent="0.25">
      <c r="A172" s="190"/>
      <c r="B172" s="187">
        <v>4224</v>
      </c>
      <c r="C172" s="170"/>
      <c r="D172" s="266" t="s">
        <v>191</v>
      </c>
      <c r="E172" s="173"/>
      <c r="F172" s="173"/>
      <c r="G172" s="173"/>
      <c r="H172" s="173"/>
      <c r="I172" s="173"/>
    </row>
    <row r="173" spans="1:9" hidden="1" x14ac:dyDescent="0.25">
      <c r="A173" s="190"/>
      <c r="B173" s="187">
        <v>4225</v>
      </c>
      <c r="C173" s="170"/>
      <c r="D173" s="266" t="s">
        <v>192</v>
      </c>
      <c r="E173" s="173"/>
      <c r="F173" s="173"/>
      <c r="G173" s="173"/>
      <c r="H173" s="173"/>
      <c r="I173" s="173"/>
    </row>
    <row r="174" spans="1:9" hidden="1" x14ac:dyDescent="0.25">
      <c r="A174" s="190"/>
      <c r="B174" s="184">
        <v>4227</v>
      </c>
      <c r="C174" s="166"/>
      <c r="D174" s="265" t="s">
        <v>193</v>
      </c>
      <c r="E174" s="165">
        <f t="shared" ref="E174:I174" si="97">SUM(E175)</f>
        <v>0</v>
      </c>
      <c r="F174" s="165">
        <f t="shared" si="97"/>
        <v>0</v>
      </c>
      <c r="G174" s="165">
        <f t="shared" si="97"/>
        <v>0</v>
      </c>
      <c r="H174" s="165">
        <f t="shared" si="97"/>
        <v>0</v>
      </c>
      <c r="I174" s="165">
        <f t="shared" si="97"/>
        <v>0</v>
      </c>
    </row>
    <row r="175" spans="1:9" hidden="1" x14ac:dyDescent="0.25">
      <c r="A175" s="190"/>
      <c r="B175" s="187">
        <v>42273</v>
      </c>
      <c r="C175" s="170"/>
      <c r="D175" s="357" t="s">
        <v>193</v>
      </c>
      <c r="E175" s="173"/>
      <c r="F175" s="173"/>
      <c r="G175" s="173"/>
      <c r="H175" s="173"/>
      <c r="I175" s="173"/>
    </row>
    <row r="176" spans="1:9" s="138" customFormat="1" hidden="1" x14ac:dyDescent="0.25">
      <c r="A176" s="167"/>
      <c r="B176" s="184">
        <v>423</v>
      </c>
      <c r="C176" s="166"/>
      <c r="D176" s="265" t="s">
        <v>194</v>
      </c>
      <c r="E176" s="165">
        <f t="shared" ref="E176:I176" si="98">E177</f>
        <v>0</v>
      </c>
      <c r="F176" s="165">
        <f t="shared" si="98"/>
        <v>0</v>
      </c>
      <c r="G176" s="165">
        <f t="shared" si="98"/>
        <v>0</v>
      </c>
      <c r="H176" s="165">
        <f t="shared" si="98"/>
        <v>0</v>
      </c>
      <c r="I176" s="165">
        <f t="shared" si="98"/>
        <v>0</v>
      </c>
    </row>
    <row r="177" spans="1:16" hidden="1" x14ac:dyDescent="0.25">
      <c r="A177" s="190"/>
      <c r="B177" s="187">
        <v>4231</v>
      </c>
      <c r="C177" s="170"/>
      <c r="D177" s="266" t="s">
        <v>194</v>
      </c>
      <c r="E177" s="173"/>
      <c r="F177" s="173"/>
      <c r="G177" s="173"/>
      <c r="H177" s="173"/>
      <c r="I177" s="173"/>
    </row>
    <row r="178" spans="1:16" hidden="1" x14ac:dyDescent="0.25">
      <c r="A178" s="190"/>
      <c r="B178" s="184">
        <v>426</v>
      </c>
      <c r="C178" s="166"/>
      <c r="D178" s="265" t="s">
        <v>195</v>
      </c>
      <c r="E178" s="165">
        <f t="shared" ref="E178:I178" si="99">E179</f>
        <v>0</v>
      </c>
      <c r="F178" s="165">
        <f t="shared" si="99"/>
        <v>0</v>
      </c>
      <c r="G178" s="165">
        <f t="shared" si="99"/>
        <v>0</v>
      </c>
      <c r="H178" s="165">
        <f t="shared" si="99"/>
        <v>0</v>
      </c>
      <c r="I178" s="165">
        <f t="shared" si="99"/>
        <v>0</v>
      </c>
    </row>
    <row r="179" spans="1:16" hidden="1" x14ac:dyDescent="0.25">
      <c r="A179" s="190"/>
      <c r="B179" s="187">
        <v>4262</v>
      </c>
      <c r="C179" s="170"/>
      <c r="D179" s="266" t="s">
        <v>196</v>
      </c>
      <c r="E179" s="173"/>
      <c r="F179" s="173"/>
      <c r="G179" s="173"/>
      <c r="H179" s="173"/>
      <c r="I179" s="173"/>
    </row>
    <row r="180" spans="1:16" x14ac:dyDescent="0.25">
      <c r="A180" s="267"/>
      <c r="B180" s="268"/>
      <c r="C180" s="286" t="s">
        <v>66</v>
      </c>
      <c r="D180" s="287" t="s">
        <v>211</v>
      </c>
      <c r="E180" s="288">
        <f t="shared" ref="E180" si="100">E75+E159</f>
        <v>140194.37</v>
      </c>
      <c r="F180" s="288">
        <f t="shared" ref="F180:I180" si="101">F75+F159</f>
        <v>163116.33000000002</v>
      </c>
      <c r="G180" s="288">
        <f t="shared" si="101"/>
        <v>163116.33000000002</v>
      </c>
      <c r="H180" s="288">
        <f t="shared" si="101"/>
        <v>163116.33000000002</v>
      </c>
      <c r="I180" s="288">
        <f t="shared" si="101"/>
        <v>163116.33000000002</v>
      </c>
    </row>
    <row r="181" spans="1:16" s="121" customFormat="1" x14ac:dyDescent="0.25">
      <c r="A181" s="229" t="s">
        <v>87</v>
      </c>
      <c r="B181" s="229"/>
      <c r="C181" s="230"/>
      <c r="D181" s="231" t="s">
        <v>88</v>
      </c>
      <c r="E181" s="232">
        <f t="shared" ref="E181" si="102">E182+E205+E301+E312+E316+E321</f>
        <v>4756406.24</v>
      </c>
      <c r="F181" s="232">
        <f t="shared" ref="F181:I181" si="103">F182+F205+F301+F312+F316+F321</f>
        <v>3580125.3000000003</v>
      </c>
      <c r="G181" s="232">
        <f t="shared" si="103"/>
        <v>4830321.7699999996</v>
      </c>
      <c r="H181" s="232">
        <f t="shared" si="103"/>
        <v>4916783.13</v>
      </c>
      <c r="I181" s="232">
        <f t="shared" si="103"/>
        <v>5003334.21</v>
      </c>
      <c r="J181" s="120"/>
      <c r="K181" s="120"/>
      <c r="L181" s="120"/>
      <c r="M181" s="120"/>
      <c r="N181" s="120"/>
      <c r="O181" s="120"/>
      <c r="P181" s="120"/>
    </row>
    <row r="182" spans="1:16" s="121" customFormat="1" x14ac:dyDescent="0.25">
      <c r="A182" s="202"/>
      <c r="B182" s="141">
        <v>31</v>
      </c>
      <c r="C182" s="215"/>
      <c r="D182" s="233" t="s">
        <v>89</v>
      </c>
      <c r="E182" s="144">
        <f t="shared" ref="E182" si="104">E183+E192+E200</f>
        <v>4058051.56</v>
      </c>
      <c r="F182" s="144">
        <f t="shared" ref="F182:I182" si="105">F183+F192+F200</f>
        <v>3002112.29</v>
      </c>
      <c r="G182" s="144">
        <f t="shared" si="105"/>
        <v>4115156.15</v>
      </c>
      <c r="H182" s="144">
        <f t="shared" si="105"/>
        <v>4155283.61</v>
      </c>
      <c r="I182" s="144">
        <f t="shared" si="105"/>
        <v>4195288.84</v>
      </c>
      <c r="J182" s="120"/>
      <c r="K182" s="120"/>
      <c r="L182" s="120"/>
      <c r="M182" s="120"/>
      <c r="N182" s="120"/>
      <c r="O182" s="120"/>
      <c r="P182" s="120"/>
    </row>
    <row r="183" spans="1:16" s="139" customFormat="1" x14ac:dyDescent="0.25">
      <c r="A183" s="202"/>
      <c r="B183" s="162">
        <v>311</v>
      </c>
      <c r="C183" s="234"/>
      <c r="D183" s="202" t="s">
        <v>90</v>
      </c>
      <c r="E183" s="165">
        <f t="shared" ref="E183" si="106">E184+E188+E190</f>
        <v>3379334.8000000003</v>
      </c>
      <c r="F183" s="165">
        <f t="shared" ref="F183:I183" si="107">F184+F188+F190</f>
        <v>2505491.41</v>
      </c>
      <c r="G183" s="165">
        <f t="shared" si="107"/>
        <v>3451867.31</v>
      </c>
      <c r="H183" s="165">
        <f t="shared" si="107"/>
        <v>3484044.77</v>
      </c>
      <c r="I183" s="165">
        <f t="shared" si="107"/>
        <v>3516000</v>
      </c>
      <c r="J183" s="138"/>
      <c r="K183" s="138"/>
      <c r="L183" s="138"/>
      <c r="M183" s="138"/>
      <c r="N183" s="138"/>
      <c r="O183" s="138"/>
      <c r="P183" s="138"/>
    </row>
    <row r="184" spans="1:16" s="139" customFormat="1" x14ac:dyDescent="0.25">
      <c r="A184" s="202"/>
      <c r="B184" s="162">
        <v>3111</v>
      </c>
      <c r="C184" s="234"/>
      <c r="D184" s="202" t="s">
        <v>91</v>
      </c>
      <c r="E184" s="165">
        <f t="shared" ref="E184" si="108">SUM(E185:E186)</f>
        <v>3257753.0700000003</v>
      </c>
      <c r="F184" s="165">
        <f t="shared" ref="F184:I184" si="109">SUM(F185:F186)</f>
        <v>2456383.9700000002</v>
      </c>
      <c r="G184" s="165">
        <f t="shared" si="109"/>
        <v>3371867.31</v>
      </c>
      <c r="H184" s="165">
        <f t="shared" si="109"/>
        <v>3402044.77</v>
      </c>
      <c r="I184" s="165">
        <f t="shared" si="109"/>
        <v>3432000</v>
      </c>
      <c r="J184" s="138"/>
      <c r="K184" s="138"/>
      <c r="L184" s="138"/>
      <c r="M184" s="138"/>
      <c r="N184" s="138"/>
      <c r="O184" s="138"/>
      <c r="P184" s="138"/>
    </row>
    <row r="185" spans="1:16" s="139" customFormat="1" x14ac:dyDescent="0.25">
      <c r="A185" s="202"/>
      <c r="B185" s="235" t="s">
        <v>494</v>
      </c>
      <c r="C185" s="234"/>
      <c r="D185" s="234" t="s">
        <v>91</v>
      </c>
      <c r="E185" s="173">
        <f>'Rekapitulacija Posebni dio'!C12</f>
        <v>3256037.08</v>
      </c>
      <c r="F185" s="173">
        <f>'Rekapitulacija Posebni dio'!D12</f>
        <v>2451383.9700000002</v>
      </c>
      <c r="G185" s="173">
        <f>'Rekapitulacija Posebni dio'!E12</f>
        <v>3370067.31</v>
      </c>
      <c r="H185" s="173">
        <f>'Rekapitulacija Posebni dio'!F12</f>
        <v>3400144.77</v>
      </c>
      <c r="I185" s="173">
        <f>'Rekapitulacija Posebni dio'!G12</f>
        <v>3430000</v>
      </c>
      <c r="J185" s="138"/>
      <c r="K185" s="138"/>
      <c r="L185" s="138"/>
      <c r="M185" s="138"/>
      <c r="N185" s="138"/>
      <c r="O185" s="138"/>
      <c r="P185" s="138"/>
    </row>
    <row r="186" spans="1:16" s="237" customFormat="1" x14ac:dyDescent="0.25">
      <c r="A186" s="234"/>
      <c r="B186" s="235" t="s">
        <v>495</v>
      </c>
      <c r="C186" s="234"/>
      <c r="D186" s="234" t="s">
        <v>409</v>
      </c>
      <c r="E186" s="173">
        <f>'Rekapitulacija Posebni dio'!C13</f>
        <v>1715.99</v>
      </c>
      <c r="F186" s="173">
        <f>'Rekapitulacija Posebni dio'!D13</f>
        <v>5000</v>
      </c>
      <c r="G186" s="173">
        <f>'Rekapitulacija Posebni dio'!E13</f>
        <v>1800</v>
      </c>
      <c r="H186" s="173">
        <f>'Rekapitulacija Posebni dio'!F13</f>
        <v>1900</v>
      </c>
      <c r="I186" s="173">
        <f>'Rekapitulacija Posebni dio'!G13</f>
        <v>2000</v>
      </c>
      <c r="J186" s="236"/>
      <c r="K186" s="236"/>
      <c r="L186" s="236"/>
      <c r="M186" s="236"/>
      <c r="N186" s="236"/>
      <c r="O186" s="236"/>
      <c r="P186" s="236"/>
    </row>
    <row r="187" spans="1:16" s="237" customFormat="1" x14ac:dyDescent="0.25">
      <c r="A187" s="234"/>
      <c r="B187" s="162" t="s">
        <v>92</v>
      </c>
      <c r="C187" s="202"/>
      <c r="D187" s="202" t="s">
        <v>93</v>
      </c>
      <c r="E187" s="165"/>
      <c r="F187" s="165"/>
      <c r="G187" s="165"/>
      <c r="H187" s="165"/>
      <c r="I187" s="165"/>
      <c r="J187" s="236"/>
      <c r="K187" s="236"/>
      <c r="L187" s="236"/>
      <c r="M187" s="236"/>
      <c r="N187" s="236"/>
      <c r="O187" s="236"/>
      <c r="P187" s="236"/>
    </row>
    <row r="188" spans="1:16" s="237" customFormat="1" x14ac:dyDescent="0.25">
      <c r="A188" s="234"/>
      <c r="B188" s="162" t="s">
        <v>94</v>
      </c>
      <c r="C188" s="202"/>
      <c r="D188" s="202" t="s">
        <v>95</v>
      </c>
      <c r="E188" s="165">
        <f t="shared" ref="E188:I188" si="110">SUM(E189)</f>
        <v>79831.87</v>
      </c>
      <c r="F188" s="165">
        <f t="shared" si="110"/>
        <v>49107.44</v>
      </c>
      <c r="G188" s="165">
        <f t="shared" si="110"/>
        <v>80000</v>
      </c>
      <c r="H188" s="165">
        <f t="shared" si="110"/>
        <v>82000</v>
      </c>
      <c r="I188" s="165">
        <f t="shared" si="110"/>
        <v>84000</v>
      </c>
      <c r="J188" s="236"/>
      <c r="K188" s="236"/>
      <c r="L188" s="236"/>
      <c r="M188" s="236"/>
      <c r="N188" s="236"/>
      <c r="O188" s="236"/>
      <c r="P188" s="236"/>
    </row>
    <row r="189" spans="1:16" s="237" customFormat="1" x14ac:dyDescent="0.25">
      <c r="A189" s="234"/>
      <c r="B189" s="235" t="s">
        <v>496</v>
      </c>
      <c r="C189" s="234"/>
      <c r="D189" s="234" t="s">
        <v>95</v>
      </c>
      <c r="E189" s="173">
        <f>'Rekapitulacija Posebni dio'!C16</f>
        <v>79831.87</v>
      </c>
      <c r="F189" s="173">
        <f>'Rekapitulacija Posebni dio'!D16</f>
        <v>49107.44</v>
      </c>
      <c r="G189" s="173">
        <f>'Rekapitulacija Posebni dio'!E16</f>
        <v>80000</v>
      </c>
      <c r="H189" s="173">
        <f>'Rekapitulacija Posebni dio'!F16</f>
        <v>82000</v>
      </c>
      <c r="I189" s="173">
        <f>'Rekapitulacija Posebni dio'!G16</f>
        <v>84000</v>
      </c>
      <c r="J189" s="236"/>
      <c r="K189" s="236"/>
      <c r="L189" s="236"/>
      <c r="M189" s="236"/>
      <c r="N189" s="236"/>
      <c r="O189" s="236"/>
      <c r="P189" s="236"/>
    </row>
    <row r="190" spans="1:16" s="237" customFormat="1" x14ac:dyDescent="0.25">
      <c r="A190" s="234"/>
      <c r="B190" s="162" t="s">
        <v>96</v>
      </c>
      <c r="C190" s="202"/>
      <c r="D190" s="202" t="s">
        <v>97</v>
      </c>
      <c r="E190" s="165">
        <f t="shared" ref="E190:I190" si="111">SUM(E191)</f>
        <v>41749.86</v>
      </c>
      <c r="F190" s="165">
        <f t="shared" si="111"/>
        <v>0</v>
      </c>
      <c r="G190" s="165">
        <f t="shared" si="111"/>
        <v>0</v>
      </c>
      <c r="H190" s="165">
        <f t="shared" si="111"/>
        <v>0</v>
      </c>
      <c r="I190" s="165">
        <f t="shared" si="111"/>
        <v>0</v>
      </c>
      <c r="J190" s="236"/>
      <c r="K190" s="236"/>
      <c r="L190" s="236"/>
      <c r="M190" s="236"/>
      <c r="N190" s="236"/>
      <c r="O190" s="236"/>
      <c r="P190" s="236"/>
    </row>
    <row r="191" spans="1:16" s="237" customFormat="1" x14ac:dyDescent="0.25">
      <c r="A191" s="234"/>
      <c r="B191" s="235" t="s">
        <v>497</v>
      </c>
      <c r="C191" s="234"/>
      <c r="D191" s="234" t="s">
        <v>97</v>
      </c>
      <c r="E191" s="173">
        <f>'Rekapitulacija Posebni dio'!C18</f>
        <v>41749.86</v>
      </c>
      <c r="F191" s="173">
        <f>'Rekapitulacija Posebni dio'!D18</f>
        <v>0</v>
      </c>
      <c r="G191" s="173">
        <f>'Rekapitulacija Posebni dio'!E18</f>
        <v>0</v>
      </c>
      <c r="H191" s="173">
        <f>'Rekapitulacija Posebni dio'!F18</f>
        <v>0</v>
      </c>
      <c r="I191" s="173">
        <f>'Rekapitulacija Posebni dio'!G18</f>
        <v>0</v>
      </c>
      <c r="J191" s="236"/>
      <c r="K191" s="236"/>
      <c r="L191" s="236"/>
      <c r="M191" s="236"/>
      <c r="N191" s="236"/>
      <c r="O191" s="236"/>
      <c r="P191" s="236"/>
    </row>
    <row r="192" spans="1:16" s="239" customFormat="1" x14ac:dyDescent="0.25">
      <c r="A192" s="202"/>
      <c r="B192" s="162" t="s">
        <v>98</v>
      </c>
      <c r="C192" s="202"/>
      <c r="D192" s="202" t="s">
        <v>99</v>
      </c>
      <c r="E192" s="165">
        <f t="shared" ref="E192:I192" si="112">SUM(E193)</f>
        <v>142684.44</v>
      </c>
      <c r="F192" s="165">
        <f t="shared" si="112"/>
        <v>123214.88</v>
      </c>
      <c r="G192" s="165">
        <f t="shared" si="112"/>
        <v>126800</v>
      </c>
      <c r="H192" s="165">
        <f t="shared" si="112"/>
        <v>132750</v>
      </c>
      <c r="I192" s="165">
        <f t="shared" si="112"/>
        <v>138800</v>
      </c>
      <c r="J192" s="238"/>
      <c r="K192" s="238"/>
      <c r="L192" s="238"/>
      <c r="M192" s="238"/>
      <c r="N192" s="238"/>
      <c r="O192" s="238"/>
      <c r="P192" s="238"/>
    </row>
    <row r="193" spans="1:16" s="239" customFormat="1" x14ac:dyDescent="0.25">
      <c r="A193" s="202"/>
      <c r="B193" s="162" t="s">
        <v>100</v>
      </c>
      <c r="C193" s="202"/>
      <c r="D193" s="202" t="s">
        <v>99</v>
      </c>
      <c r="E193" s="165">
        <f t="shared" ref="E193" si="113">SUM(E194:E199)</f>
        <v>142684.44</v>
      </c>
      <c r="F193" s="165">
        <f t="shared" ref="F193:I193" si="114">SUM(F194:F199)</f>
        <v>123214.88</v>
      </c>
      <c r="G193" s="165">
        <f t="shared" si="114"/>
        <v>126800</v>
      </c>
      <c r="H193" s="165">
        <f t="shared" si="114"/>
        <v>132750</v>
      </c>
      <c r="I193" s="165">
        <f t="shared" si="114"/>
        <v>138800</v>
      </c>
      <c r="J193" s="238"/>
      <c r="K193" s="238"/>
      <c r="L193" s="238"/>
      <c r="M193" s="238"/>
      <c r="N193" s="238"/>
      <c r="O193" s="238"/>
      <c r="P193" s="238"/>
    </row>
    <row r="194" spans="1:16" s="239" customFormat="1" x14ac:dyDescent="0.25">
      <c r="A194" s="202"/>
      <c r="B194" s="235" t="s">
        <v>498</v>
      </c>
      <c r="C194" s="234"/>
      <c r="D194" s="357" t="s">
        <v>411</v>
      </c>
      <c r="E194" s="173">
        <f>'Rekapitulacija Posebni dio'!C21</f>
        <v>32979.199999999997</v>
      </c>
      <c r="F194" s="173">
        <f>'Rekapitulacija Posebni dio'!D21</f>
        <v>13000</v>
      </c>
      <c r="G194" s="173">
        <f>'Rekapitulacija Posebni dio'!E21</f>
        <v>28000</v>
      </c>
      <c r="H194" s="173">
        <f>'Rekapitulacija Posebni dio'!F21</f>
        <v>29500</v>
      </c>
      <c r="I194" s="173">
        <f>'Rekapitulacija Posebni dio'!G21</f>
        <v>31000</v>
      </c>
      <c r="J194" s="238"/>
      <c r="K194" s="238"/>
      <c r="L194" s="238"/>
      <c r="M194" s="238"/>
      <c r="N194" s="238"/>
      <c r="O194" s="238"/>
      <c r="P194" s="238"/>
    </row>
    <row r="195" spans="1:16" s="239" customFormat="1" x14ac:dyDescent="0.25">
      <c r="A195" s="202"/>
      <c r="B195" s="235" t="s">
        <v>499</v>
      </c>
      <c r="C195" s="202"/>
      <c r="D195" s="357" t="s">
        <v>413</v>
      </c>
      <c r="E195" s="173">
        <f>'Rekapitulacija Posebni dio'!C22</f>
        <v>30736.17</v>
      </c>
      <c r="F195" s="173">
        <f>'Rekapitulacija Posebni dio'!D22</f>
        <v>25000</v>
      </c>
      <c r="G195" s="173">
        <f>'Rekapitulacija Posebni dio'!E22</f>
        <v>26000</v>
      </c>
      <c r="H195" s="173">
        <f>'Rekapitulacija Posebni dio'!F22</f>
        <v>27000</v>
      </c>
      <c r="I195" s="173">
        <f>'Rekapitulacija Posebni dio'!G22</f>
        <v>28000</v>
      </c>
      <c r="J195" s="238"/>
      <c r="K195" s="238"/>
      <c r="L195" s="238"/>
      <c r="M195" s="238"/>
      <c r="N195" s="238"/>
      <c r="O195" s="238"/>
      <c r="P195" s="238"/>
    </row>
    <row r="196" spans="1:16" s="239" customFormat="1" x14ac:dyDescent="0.25">
      <c r="A196" s="202"/>
      <c r="B196" s="235" t="s">
        <v>500</v>
      </c>
      <c r="C196" s="202"/>
      <c r="D196" s="357" t="s">
        <v>412</v>
      </c>
      <c r="E196" s="173">
        <f>'Rekapitulacija Posebni dio'!C23</f>
        <v>0</v>
      </c>
      <c r="F196" s="173">
        <f>'Rekapitulacija Posebni dio'!D23</f>
        <v>2000</v>
      </c>
      <c r="G196" s="173">
        <f>'Rekapitulacija Posebni dio'!E23</f>
        <v>2000</v>
      </c>
      <c r="H196" s="173">
        <f>'Rekapitulacija Posebni dio'!F23</f>
        <v>2250</v>
      </c>
      <c r="I196" s="173">
        <f>'Rekapitulacija Posebni dio'!G23</f>
        <v>2500</v>
      </c>
      <c r="J196" s="238"/>
      <c r="K196" s="238"/>
      <c r="L196" s="238"/>
      <c r="M196" s="238"/>
      <c r="N196" s="238"/>
      <c r="O196" s="238"/>
      <c r="P196" s="238"/>
    </row>
    <row r="197" spans="1:16" s="239" customFormat="1" x14ac:dyDescent="0.25">
      <c r="A197" s="202"/>
      <c r="B197" s="235" t="s">
        <v>501</v>
      </c>
      <c r="C197" s="202"/>
      <c r="D197" s="357" t="s">
        <v>414</v>
      </c>
      <c r="E197" s="173">
        <f>'Rekapitulacija Posebni dio'!C24</f>
        <v>4022.98</v>
      </c>
      <c r="F197" s="173">
        <f>'Rekapitulacija Posebni dio'!D24</f>
        <v>3800</v>
      </c>
      <c r="G197" s="173">
        <f>'Rekapitulacija Posebni dio'!E24</f>
        <v>3800</v>
      </c>
      <c r="H197" s="173">
        <f>'Rekapitulacija Posebni dio'!F24</f>
        <v>4000</v>
      </c>
      <c r="I197" s="173">
        <f>'Rekapitulacija Posebni dio'!G24</f>
        <v>4300</v>
      </c>
      <c r="J197" s="238"/>
      <c r="K197" s="238"/>
      <c r="L197" s="238"/>
      <c r="M197" s="238"/>
      <c r="N197" s="238"/>
      <c r="O197" s="238"/>
      <c r="P197" s="238"/>
    </row>
    <row r="198" spans="1:16" s="239" customFormat="1" x14ac:dyDescent="0.25">
      <c r="A198" s="202"/>
      <c r="B198" s="235" t="s">
        <v>502</v>
      </c>
      <c r="C198" s="202"/>
      <c r="D198" s="357" t="s">
        <v>415</v>
      </c>
      <c r="E198" s="173">
        <f>'Rekapitulacija Posebni dio'!C25</f>
        <v>39600</v>
      </c>
      <c r="F198" s="173">
        <f>'Rekapitulacija Posebni dio'!D25</f>
        <v>40000</v>
      </c>
      <c r="G198" s="173">
        <f>'Rekapitulacija Posebni dio'!E25</f>
        <v>35000</v>
      </c>
      <c r="H198" s="173">
        <f>'Rekapitulacija Posebni dio'!F25</f>
        <v>36500</v>
      </c>
      <c r="I198" s="173">
        <f>'Rekapitulacija Posebni dio'!G25</f>
        <v>38000</v>
      </c>
      <c r="J198" s="238"/>
      <c r="K198" s="238"/>
      <c r="L198" s="238"/>
      <c r="M198" s="238"/>
      <c r="N198" s="238"/>
      <c r="O198" s="238"/>
      <c r="P198" s="238"/>
    </row>
    <row r="199" spans="1:16" s="237" customFormat="1" x14ac:dyDescent="0.25">
      <c r="A199" s="234"/>
      <c r="B199" s="235" t="s">
        <v>503</v>
      </c>
      <c r="C199" s="234"/>
      <c r="D199" s="357" t="s">
        <v>410</v>
      </c>
      <c r="E199" s="173">
        <f>'Rekapitulacija Posebni dio'!C26</f>
        <v>35346.089999999997</v>
      </c>
      <c r="F199" s="173">
        <f>'Rekapitulacija Posebni dio'!D26</f>
        <v>39414.880000000005</v>
      </c>
      <c r="G199" s="173">
        <f>'Rekapitulacija Posebni dio'!E26</f>
        <v>32000</v>
      </c>
      <c r="H199" s="173">
        <f>'Rekapitulacija Posebni dio'!F26</f>
        <v>33500</v>
      </c>
      <c r="I199" s="173">
        <f>'Rekapitulacija Posebni dio'!G26</f>
        <v>35000</v>
      </c>
      <c r="J199" s="236"/>
      <c r="K199" s="236"/>
      <c r="L199" s="236"/>
      <c r="M199" s="236"/>
      <c r="N199" s="236"/>
      <c r="O199" s="236"/>
      <c r="P199" s="236"/>
    </row>
    <row r="200" spans="1:16" s="237" customFormat="1" x14ac:dyDescent="0.25">
      <c r="A200" s="202"/>
      <c r="B200" s="166">
        <v>313</v>
      </c>
      <c r="C200" s="202"/>
      <c r="D200" s="202" t="s">
        <v>101</v>
      </c>
      <c r="E200" s="240">
        <f>E201+E203</f>
        <v>536032.31999999995</v>
      </c>
      <c r="F200" s="240">
        <f t="shared" ref="F200:I200" si="115">F201+F203</f>
        <v>373406</v>
      </c>
      <c r="G200" s="240">
        <f t="shared" si="115"/>
        <v>536488.84</v>
      </c>
      <c r="H200" s="240">
        <f t="shared" si="115"/>
        <v>538488.84</v>
      </c>
      <c r="I200" s="240">
        <f t="shared" si="115"/>
        <v>540488.84</v>
      </c>
      <c r="J200" s="236"/>
      <c r="K200" s="236"/>
      <c r="L200" s="236"/>
      <c r="M200" s="236"/>
      <c r="N200" s="236"/>
      <c r="O200" s="236"/>
      <c r="P200" s="236"/>
    </row>
    <row r="201" spans="1:16" s="237" customFormat="1" x14ac:dyDescent="0.25">
      <c r="A201" s="202"/>
      <c r="B201" s="166">
        <v>3132</v>
      </c>
      <c r="C201" s="202"/>
      <c r="D201" s="202" t="s">
        <v>102</v>
      </c>
      <c r="E201" s="240">
        <f t="shared" ref="E201:I201" si="116">SUM(E202)</f>
        <v>535994.57999999996</v>
      </c>
      <c r="F201" s="240">
        <f t="shared" si="116"/>
        <v>373406</v>
      </c>
      <c r="G201" s="240">
        <f t="shared" si="116"/>
        <v>536488.84</v>
      </c>
      <c r="H201" s="240">
        <f t="shared" si="116"/>
        <v>538488.84</v>
      </c>
      <c r="I201" s="240">
        <f t="shared" si="116"/>
        <v>540488.84</v>
      </c>
      <c r="J201" s="236"/>
      <c r="K201" s="236"/>
      <c r="L201" s="236"/>
      <c r="M201" s="236"/>
      <c r="N201" s="236"/>
      <c r="O201" s="236"/>
      <c r="P201" s="236"/>
    </row>
    <row r="202" spans="1:16" s="121" customFormat="1" x14ac:dyDescent="0.25">
      <c r="A202" s="234"/>
      <c r="B202" s="170" t="s">
        <v>504</v>
      </c>
      <c r="C202" s="234"/>
      <c r="D202" s="234" t="s">
        <v>102</v>
      </c>
      <c r="E202" s="173">
        <f>'Rekapitulacija Posebni dio'!C29</f>
        <v>535994.57999999996</v>
      </c>
      <c r="F202" s="173">
        <f>'Rekapitulacija Posebni dio'!D29</f>
        <v>373406</v>
      </c>
      <c r="G202" s="173">
        <f>'Rekapitulacija Posebni dio'!E29</f>
        <v>536488.84</v>
      </c>
      <c r="H202" s="173">
        <f>'Rekapitulacija Posebni dio'!F29</f>
        <v>538488.84</v>
      </c>
      <c r="I202" s="173">
        <f>'Rekapitulacija Posebni dio'!G29</f>
        <v>540488.84</v>
      </c>
      <c r="J202" s="120"/>
      <c r="K202" s="120"/>
      <c r="L202" s="120"/>
      <c r="M202" s="120"/>
      <c r="N202" s="120"/>
      <c r="O202" s="120"/>
      <c r="P202" s="120"/>
    </row>
    <row r="203" spans="1:16" s="121" customFormat="1" x14ac:dyDescent="0.25">
      <c r="A203" s="234"/>
      <c r="B203" s="457" t="s">
        <v>326</v>
      </c>
      <c r="C203" s="234"/>
      <c r="D203" s="453" t="s">
        <v>574</v>
      </c>
      <c r="E203" s="165">
        <f>E204</f>
        <v>37.74</v>
      </c>
      <c r="F203" s="165">
        <f t="shared" ref="F203:I203" si="117">F204</f>
        <v>0</v>
      </c>
      <c r="G203" s="165">
        <f t="shared" si="117"/>
        <v>0</v>
      </c>
      <c r="H203" s="165">
        <f t="shared" si="117"/>
        <v>0</v>
      </c>
      <c r="I203" s="165">
        <f t="shared" si="117"/>
        <v>0</v>
      </c>
      <c r="J203" s="120"/>
      <c r="K203" s="120"/>
      <c r="L203" s="120"/>
      <c r="M203" s="120"/>
      <c r="N203" s="120"/>
      <c r="O203" s="120"/>
      <c r="P203" s="120"/>
    </row>
    <row r="204" spans="1:16" s="121" customFormat="1" x14ac:dyDescent="0.25">
      <c r="A204" s="234"/>
      <c r="B204" s="458" t="s">
        <v>573</v>
      </c>
      <c r="C204" s="234"/>
      <c r="D204" s="357" t="s">
        <v>575</v>
      </c>
      <c r="E204" s="173">
        <f>'Rekapitulacija Posebni dio'!C31</f>
        <v>37.74</v>
      </c>
      <c r="F204" s="173">
        <f>'Rekapitulacija Posebni dio'!D31</f>
        <v>0</v>
      </c>
      <c r="G204" s="173">
        <f>'Rekapitulacija Posebni dio'!E31</f>
        <v>0</v>
      </c>
      <c r="H204" s="173">
        <f>'Rekapitulacija Posebni dio'!F31</f>
        <v>0</v>
      </c>
      <c r="I204" s="173">
        <f>'Rekapitulacija Posebni dio'!G31</f>
        <v>0</v>
      </c>
      <c r="J204" s="120"/>
      <c r="K204" s="120"/>
      <c r="L204" s="120"/>
      <c r="M204" s="120"/>
      <c r="N204" s="120"/>
      <c r="O204" s="120"/>
      <c r="P204" s="120"/>
    </row>
    <row r="205" spans="1:16" s="121" customFormat="1" x14ac:dyDescent="0.25">
      <c r="A205" s="202"/>
      <c r="B205" s="141">
        <v>32</v>
      </c>
      <c r="C205" s="215"/>
      <c r="D205" s="233" t="s">
        <v>103</v>
      </c>
      <c r="E205" s="144">
        <f>E206+E218+E243+E274+E277+E281</f>
        <v>682391.78000000014</v>
      </c>
      <c r="F205" s="144">
        <f t="shared" ref="F205:I205" si="118">F206+F218+F243+F274+F277+F281</f>
        <v>565540.49</v>
      </c>
      <c r="G205" s="144">
        <f t="shared" si="118"/>
        <v>705690.62</v>
      </c>
      <c r="H205" s="144">
        <f t="shared" si="118"/>
        <v>751729.52</v>
      </c>
      <c r="I205" s="144">
        <f t="shared" si="118"/>
        <v>797980.37</v>
      </c>
      <c r="J205" s="120"/>
      <c r="K205" s="120"/>
      <c r="L205" s="120"/>
      <c r="M205" s="120"/>
      <c r="N205" s="120"/>
      <c r="O205" s="120"/>
      <c r="P205" s="120"/>
    </row>
    <row r="206" spans="1:16" s="121" customFormat="1" x14ac:dyDescent="0.25">
      <c r="A206" s="202"/>
      <c r="B206" s="162">
        <v>321</v>
      </c>
      <c r="C206" s="202"/>
      <c r="D206" s="202" t="s">
        <v>104</v>
      </c>
      <c r="E206" s="165">
        <f t="shared" ref="E206" si="119">E207+E211+E213+E216</f>
        <v>100222.78000000001</v>
      </c>
      <c r="F206" s="165">
        <f t="shared" ref="F206:I206" si="120">F207+F211+F213+F216</f>
        <v>106441.57</v>
      </c>
      <c r="G206" s="165">
        <f t="shared" si="120"/>
        <v>82594.290000000008</v>
      </c>
      <c r="H206" s="165">
        <f t="shared" si="120"/>
        <v>85033.19</v>
      </c>
      <c r="I206" s="165">
        <f t="shared" si="120"/>
        <v>87584.040000000008</v>
      </c>
      <c r="J206" s="120"/>
      <c r="K206" s="120"/>
      <c r="L206" s="120"/>
      <c r="M206" s="120"/>
      <c r="N206" s="120"/>
      <c r="O206" s="120"/>
      <c r="P206" s="120"/>
    </row>
    <row r="207" spans="1:16" s="121" customFormat="1" x14ac:dyDescent="0.25">
      <c r="A207" s="202"/>
      <c r="B207" s="162" t="s">
        <v>105</v>
      </c>
      <c r="C207" s="202"/>
      <c r="D207" s="202" t="s">
        <v>106</v>
      </c>
      <c r="E207" s="165">
        <f t="shared" ref="E207" si="121">SUM(E208:E210)</f>
        <v>3262.24</v>
      </c>
      <c r="F207" s="165">
        <f t="shared" ref="F207:I207" si="122">SUM(F208:F210)</f>
        <v>18977.240000000002</v>
      </c>
      <c r="G207" s="165">
        <f t="shared" si="122"/>
        <v>4000</v>
      </c>
      <c r="H207" s="165">
        <f t="shared" si="122"/>
        <v>4250</v>
      </c>
      <c r="I207" s="165">
        <f t="shared" si="122"/>
        <v>4500</v>
      </c>
      <c r="J207" s="120"/>
      <c r="K207" s="120"/>
      <c r="L207" s="120"/>
      <c r="M207" s="120"/>
      <c r="N207" s="120"/>
      <c r="O207" s="120"/>
      <c r="P207" s="120"/>
    </row>
    <row r="208" spans="1:16" s="121" customFormat="1" x14ac:dyDescent="0.25">
      <c r="A208" s="202"/>
      <c r="B208" s="235" t="s">
        <v>535</v>
      </c>
      <c r="C208" s="234"/>
      <c r="D208" s="234" t="s">
        <v>416</v>
      </c>
      <c r="E208" s="173">
        <f>'Rekapitulacija Posebni dio'!C35</f>
        <v>2952.75</v>
      </c>
      <c r="F208" s="173">
        <f>'Rekapitulacija Posebni dio'!D35</f>
        <v>11800</v>
      </c>
      <c r="G208" s="173">
        <f>'Rekapitulacija Posebni dio'!E35</f>
        <v>3000</v>
      </c>
      <c r="H208" s="173">
        <f>'Rekapitulacija Posebni dio'!F35</f>
        <v>3100</v>
      </c>
      <c r="I208" s="173">
        <f>'Rekapitulacija Posebni dio'!G35</f>
        <v>3200</v>
      </c>
      <c r="J208" s="120"/>
      <c r="K208" s="120"/>
      <c r="L208" s="120"/>
      <c r="M208" s="120"/>
      <c r="N208" s="120"/>
      <c r="O208" s="120"/>
      <c r="P208" s="120"/>
    </row>
    <row r="209" spans="1:16" s="121" customFormat="1" x14ac:dyDescent="0.25">
      <c r="A209" s="202"/>
      <c r="B209" s="235" t="s">
        <v>542</v>
      </c>
      <c r="C209" s="234"/>
      <c r="D209" s="234" t="s">
        <v>418</v>
      </c>
      <c r="E209" s="173">
        <f>'Rekapitulacija Posebni dio'!C36</f>
        <v>0</v>
      </c>
      <c r="F209" s="173">
        <f>'Rekapitulacija Posebni dio'!D36</f>
        <v>700</v>
      </c>
      <c r="G209" s="173">
        <f>'Rekapitulacija Posebni dio'!E36</f>
        <v>500</v>
      </c>
      <c r="H209" s="173">
        <f>'Rekapitulacija Posebni dio'!F36</f>
        <v>550</v>
      </c>
      <c r="I209" s="173">
        <f>'Rekapitulacija Posebni dio'!G36</f>
        <v>600</v>
      </c>
      <c r="J209" s="120"/>
      <c r="K209" s="120"/>
      <c r="L209" s="120"/>
      <c r="M209" s="120"/>
      <c r="N209" s="120"/>
      <c r="O209" s="120"/>
      <c r="P209" s="120"/>
    </row>
    <row r="210" spans="1:16" s="243" customFormat="1" x14ac:dyDescent="0.25">
      <c r="A210" s="234"/>
      <c r="B210" s="235" t="s">
        <v>524</v>
      </c>
      <c r="C210" s="234"/>
      <c r="D210" s="234" t="s">
        <v>419</v>
      </c>
      <c r="E210" s="173">
        <f>'Rekapitulacija Posebni dio'!C37</f>
        <v>309.49</v>
      </c>
      <c r="F210" s="173">
        <f>'Rekapitulacija Posebni dio'!D37</f>
        <v>6477.2400000000016</v>
      </c>
      <c r="G210" s="173">
        <f>'Rekapitulacija Posebni dio'!E37</f>
        <v>500</v>
      </c>
      <c r="H210" s="173">
        <f>'Rekapitulacija Posebni dio'!F37</f>
        <v>600</v>
      </c>
      <c r="I210" s="173">
        <f>'Rekapitulacija Posebni dio'!G37</f>
        <v>700</v>
      </c>
      <c r="J210" s="242"/>
      <c r="K210" s="242"/>
      <c r="L210" s="242"/>
      <c r="M210" s="242"/>
      <c r="N210" s="242"/>
      <c r="O210" s="242"/>
      <c r="P210" s="242"/>
    </row>
    <row r="211" spans="1:16" s="243" customFormat="1" x14ac:dyDescent="0.25">
      <c r="A211" s="234"/>
      <c r="B211" s="162" t="s">
        <v>107</v>
      </c>
      <c r="C211" s="202"/>
      <c r="D211" s="246" t="s">
        <v>108</v>
      </c>
      <c r="E211" s="165">
        <f t="shared" ref="E211:I211" si="123">SUM(E212)</f>
        <v>92041.02</v>
      </c>
      <c r="F211" s="165">
        <f t="shared" si="123"/>
        <v>82288.14</v>
      </c>
      <c r="G211" s="165">
        <f t="shared" si="123"/>
        <v>74716.27</v>
      </c>
      <c r="H211" s="165">
        <f t="shared" si="123"/>
        <v>76716.27</v>
      </c>
      <c r="I211" s="165">
        <f t="shared" si="123"/>
        <v>78716.27</v>
      </c>
      <c r="J211" s="242"/>
      <c r="K211" s="242"/>
      <c r="L211" s="242"/>
      <c r="M211" s="242"/>
      <c r="N211" s="242"/>
      <c r="O211" s="242"/>
      <c r="P211" s="242"/>
    </row>
    <row r="212" spans="1:16" s="121" customFormat="1" x14ac:dyDescent="0.25">
      <c r="A212" s="234"/>
      <c r="B212" s="235" t="s">
        <v>505</v>
      </c>
      <c r="C212" s="234"/>
      <c r="D212" s="244" t="s">
        <v>108</v>
      </c>
      <c r="E212" s="173">
        <f>'Rekapitulacija Posebni dio'!C39</f>
        <v>92041.02</v>
      </c>
      <c r="F212" s="173">
        <f>'Rekapitulacija Posebni dio'!D39</f>
        <v>82288.14</v>
      </c>
      <c r="G212" s="173">
        <f>'Rekapitulacija Posebni dio'!E39</f>
        <v>74716.27</v>
      </c>
      <c r="H212" s="173">
        <f>'Rekapitulacija Posebni dio'!F39</f>
        <v>76716.27</v>
      </c>
      <c r="I212" s="173">
        <f>'Rekapitulacija Posebni dio'!G39</f>
        <v>78716.27</v>
      </c>
      <c r="J212" s="245"/>
      <c r="K212" s="245"/>
      <c r="L212" s="120"/>
      <c r="M212" s="120"/>
      <c r="N212" s="120"/>
      <c r="O212" s="120"/>
      <c r="P212" s="120"/>
    </row>
    <row r="213" spans="1:16" s="121" customFormat="1" x14ac:dyDescent="0.25">
      <c r="A213" s="234"/>
      <c r="B213" s="162" t="s">
        <v>109</v>
      </c>
      <c r="C213" s="202"/>
      <c r="D213" s="246" t="s">
        <v>110</v>
      </c>
      <c r="E213" s="165">
        <f t="shared" ref="E213" si="124">SUM(E214:E215)</f>
        <v>4919.5200000000004</v>
      </c>
      <c r="F213" s="165">
        <f t="shared" ref="F213:I213" si="125">SUM(F214:F215)</f>
        <v>4778.0200000000004</v>
      </c>
      <c r="G213" s="165">
        <f t="shared" si="125"/>
        <v>3678.02</v>
      </c>
      <c r="H213" s="165">
        <f t="shared" si="125"/>
        <v>3866.92</v>
      </c>
      <c r="I213" s="165">
        <f t="shared" si="125"/>
        <v>4167.7700000000004</v>
      </c>
      <c r="J213" s="245"/>
      <c r="K213" s="245"/>
      <c r="L213" s="120"/>
      <c r="M213" s="120"/>
      <c r="N213" s="120"/>
      <c r="O213" s="120"/>
      <c r="P213" s="120"/>
    </row>
    <row r="214" spans="1:16" s="121" customFormat="1" x14ac:dyDescent="0.25">
      <c r="A214" s="234"/>
      <c r="B214" s="235" t="s">
        <v>544</v>
      </c>
      <c r="C214" s="234"/>
      <c r="D214" s="244" t="s">
        <v>420</v>
      </c>
      <c r="E214" s="173">
        <f>'Rekapitulacija Posebni dio'!C41</f>
        <v>1080</v>
      </c>
      <c r="F214" s="173">
        <f>'Rekapitulacija Posebni dio'!D41</f>
        <v>2200</v>
      </c>
      <c r="G214" s="173">
        <f>'Rekapitulacija Posebni dio'!E41</f>
        <v>1100</v>
      </c>
      <c r="H214" s="173">
        <f>'Rekapitulacija Posebni dio'!F41</f>
        <v>1200</v>
      </c>
      <c r="I214" s="173">
        <f>'Rekapitulacija Posebni dio'!G41</f>
        <v>1300</v>
      </c>
      <c r="J214" s="245"/>
      <c r="K214" s="245"/>
      <c r="L214" s="120"/>
      <c r="M214" s="120"/>
      <c r="N214" s="120"/>
      <c r="O214" s="120"/>
      <c r="P214" s="120"/>
    </row>
    <row r="215" spans="1:16" s="121" customFormat="1" x14ac:dyDescent="0.25">
      <c r="A215" s="234"/>
      <c r="B215" s="235" t="s">
        <v>525</v>
      </c>
      <c r="C215" s="234"/>
      <c r="D215" s="244" t="s">
        <v>421</v>
      </c>
      <c r="E215" s="173">
        <f>'Rekapitulacija Posebni dio'!C42</f>
        <v>3839.52</v>
      </c>
      <c r="F215" s="173">
        <f>'Rekapitulacija Posebni dio'!D42</f>
        <v>2578.02</v>
      </c>
      <c r="G215" s="173">
        <f>'Rekapitulacija Posebni dio'!E42</f>
        <v>2578.02</v>
      </c>
      <c r="H215" s="173">
        <f>'Rekapitulacija Posebni dio'!F42</f>
        <v>2666.92</v>
      </c>
      <c r="I215" s="173">
        <f>'Rekapitulacija Posebni dio'!G42</f>
        <v>2867.77</v>
      </c>
      <c r="J215" s="120"/>
      <c r="K215" s="120"/>
      <c r="L215" s="120"/>
      <c r="M215" s="120"/>
      <c r="N215" s="120"/>
      <c r="O215" s="120"/>
      <c r="P215" s="120"/>
    </row>
    <row r="216" spans="1:16" s="121" customFormat="1" x14ac:dyDescent="0.25">
      <c r="A216" s="234"/>
      <c r="B216" s="162" t="s">
        <v>111</v>
      </c>
      <c r="C216" s="202"/>
      <c r="D216" s="246" t="s">
        <v>112</v>
      </c>
      <c r="E216" s="165">
        <f t="shared" ref="E216:I216" si="126">SUM(E217)</f>
        <v>0</v>
      </c>
      <c r="F216" s="165">
        <f t="shared" si="126"/>
        <v>398.17</v>
      </c>
      <c r="G216" s="165">
        <f t="shared" si="126"/>
        <v>200</v>
      </c>
      <c r="H216" s="165">
        <f t="shared" si="126"/>
        <v>200</v>
      </c>
      <c r="I216" s="165">
        <f t="shared" si="126"/>
        <v>200</v>
      </c>
      <c r="J216" s="120"/>
      <c r="K216" s="120"/>
      <c r="L216" s="120"/>
      <c r="M216" s="120"/>
      <c r="N216" s="120"/>
      <c r="O216" s="120"/>
      <c r="P216" s="120"/>
    </row>
    <row r="217" spans="1:16" s="121" customFormat="1" x14ac:dyDescent="0.25">
      <c r="A217" s="234"/>
      <c r="B217" s="235" t="s">
        <v>506</v>
      </c>
      <c r="C217" s="234"/>
      <c r="D217" s="244" t="s">
        <v>543</v>
      </c>
      <c r="E217" s="173">
        <f>'Rekapitulacija Posebni dio'!C44</f>
        <v>0</v>
      </c>
      <c r="F217" s="173">
        <f>'Rekapitulacija Posebni dio'!D44</f>
        <v>398.17</v>
      </c>
      <c r="G217" s="173">
        <f>'Rekapitulacija Posebni dio'!E44</f>
        <v>200</v>
      </c>
      <c r="H217" s="173">
        <f>'Rekapitulacija Posebni dio'!F44</f>
        <v>200</v>
      </c>
      <c r="I217" s="173">
        <f>'Rekapitulacija Posebni dio'!G44</f>
        <v>200</v>
      </c>
      <c r="J217" s="120"/>
      <c r="K217" s="120"/>
      <c r="L217" s="120"/>
      <c r="M217" s="120"/>
      <c r="N217" s="120"/>
      <c r="O217" s="120"/>
      <c r="P217" s="120"/>
    </row>
    <row r="218" spans="1:16" s="139" customFormat="1" x14ac:dyDescent="0.25">
      <c r="A218" s="202"/>
      <c r="B218" s="162" t="s">
        <v>113</v>
      </c>
      <c r="C218" s="202"/>
      <c r="D218" s="246" t="s">
        <v>114</v>
      </c>
      <c r="E218" s="165">
        <f t="shared" ref="E218" si="127">E219+E225+E229+E234+E239+E241</f>
        <v>361175.70000000007</v>
      </c>
      <c r="F218" s="165">
        <f t="shared" ref="F218:I218" si="128">F219+F225+F229+F234+F239+F241</f>
        <v>146061.65000000002</v>
      </c>
      <c r="G218" s="165">
        <f t="shared" si="128"/>
        <v>107550</v>
      </c>
      <c r="H218" s="165">
        <f t="shared" si="128"/>
        <v>112850</v>
      </c>
      <c r="I218" s="165">
        <f t="shared" si="128"/>
        <v>118250</v>
      </c>
      <c r="J218" s="138"/>
      <c r="K218" s="138"/>
      <c r="L218" s="138"/>
      <c r="M218" s="138"/>
      <c r="N218" s="138"/>
      <c r="O218" s="138"/>
      <c r="P218" s="138"/>
    </row>
    <row r="219" spans="1:16" s="139" customFormat="1" x14ac:dyDescent="0.25">
      <c r="A219" s="202"/>
      <c r="B219" s="162" t="s">
        <v>115</v>
      </c>
      <c r="C219" s="202"/>
      <c r="D219" s="202" t="s">
        <v>116</v>
      </c>
      <c r="E219" s="165">
        <f t="shared" ref="E219" si="129">SUM(E220:E224)</f>
        <v>29125.119999999995</v>
      </c>
      <c r="F219" s="165">
        <f t="shared" ref="F219:I219" si="130">SUM(F220:F224)</f>
        <v>29862.63</v>
      </c>
      <c r="G219" s="165">
        <f t="shared" si="130"/>
        <v>27800</v>
      </c>
      <c r="H219" s="165">
        <f t="shared" si="130"/>
        <v>28950</v>
      </c>
      <c r="I219" s="165">
        <f t="shared" si="130"/>
        <v>30100</v>
      </c>
      <c r="J219" s="138"/>
      <c r="K219" s="138"/>
      <c r="L219" s="138"/>
      <c r="M219" s="138"/>
      <c r="N219" s="138"/>
      <c r="O219" s="138"/>
      <c r="P219" s="138"/>
    </row>
    <row r="220" spans="1:16" s="139" customFormat="1" x14ac:dyDescent="0.25">
      <c r="A220" s="202"/>
      <c r="B220" s="235" t="s">
        <v>526</v>
      </c>
      <c r="C220" s="234"/>
      <c r="D220" s="244" t="s">
        <v>423</v>
      </c>
      <c r="E220" s="173">
        <f>'Rekapitulacija Posebni dio'!C47</f>
        <v>13687.63</v>
      </c>
      <c r="F220" s="173">
        <f>'Rekapitulacija Posebni dio'!D47</f>
        <v>12000</v>
      </c>
      <c r="G220" s="173">
        <f>'Rekapitulacija Posebni dio'!E47</f>
        <v>12000</v>
      </c>
      <c r="H220" s="173">
        <f>'Rekapitulacija Posebni dio'!F47</f>
        <v>12500</v>
      </c>
      <c r="I220" s="173">
        <f>'Rekapitulacija Posebni dio'!G47</f>
        <v>13000</v>
      </c>
      <c r="J220" s="138"/>
      <c r="K220" s="138"/>
      <c r="L220" s="138"/>
      <c r="M220" s="138"/>
      <c r="N220" s="138"/>
      <c r="O220" s="138"/>
      <c r="P220" s="138"/>
    </row>
    <row r="221" spans="1:16" s="139" customFormat="1" x14ac:dyDescent="0.25">
      <c r="A221" s="202"/>
      <c r="B221" s="235" t="s">
        <v>545</v>
      </c>
      <c r="C221" s="234"/>
      <c r="D221" s="244" t="s">
        <v>424</v>
      </c>
      <c r="E221" s="173">
        <f>'Rekapitulacija Posebni dio'!C48</f>
        <v>0</v>
      </c>
      <c r="F221" s="173">
        <f>'Rekapitulacija Posebni dio'!D48</f>
        <v>500</v>
      </c>
      <c r="G221" s="173">
        <f>'Rekapitulacija Posebni dio'!E48</f>
        <v>300</v>
      </c>
      <c r="H221" s="173">
        <f>'Rekapitulacija Posebni dio'!F48</f>
        <v>350</v>
      </c>
      <c r="I221" s="173">
        <f>'Rekapitulacija Posebni dio'!G48</f>
        <v>400</v>
      </c>
      <c r="J221" s="138"/>
      <c r="K221" s="138"/>
      <c r="L221" s="138"/>
      <c r="M221" s="138"/>
      <c r="N221" s="138"/>
      <c r="O221" s="138"/>
      <c r="P221" s="138"/>
    </row>
    <row r="222" spans="1:16" s="139" customFormat="1" x14ac:dyDescent="0.25">
      <c r="A222" s="202"/>
      <c r="B222" s="235" t="s">
        <v>546</v>
      </c>
      <c r="C222" s="234"/>
      <c r="D222" s="244" t="s">
        <v>425</v>
      </c>
      <c r="E222" s="173">
        <f>'Rekapitulacija Posebni dio'!C49</f>
        <v>13369.64</v>
      </c>
      <c r="F222" s="173">
        <f>'Rekapitulacija Posebni dio'!D49</f>
        <v>15000</v>
      </c>
      <c r="G222" s="173">
        <f>'Rekapitulacija Posebni dio'!E49</f>
        <v>13500</v>
      </c>
      <c r="H222" s="173">
        <f>'Rekapitulacija Posebni dio'!F49</f>
        <v>14000</v>
      </c>
      <c r="I222" s="173">
        <f>'Rekapitulacija Posebni dio'!G49</f>
        <v>14500</v>
      </c>
      <c r="J222" s="138"/>
      <c r="K222" s="138"/>
      <c r="L222" s="138"/>
      <c r="M222" s="138"/>
      <c r="N222" s="138"/>
      <c r="O222" s="138"/>
      <c r="P222" s="138"/>
    </row>
    <row r="223" spans="1:16" s="139" customFormat="1" x14ac:dyDescent="0.25">
      <c r="A223" s="202"/>
      <c r="B223" s="235" t="s">
        <v>547</v>
      </c>
      <c r="C223" s="234"/>
      <c r="D223" s="244" t="s">
        <v>426</v>
      </c>
      <c r="E223" s="173">
        <f>'Rekapitulacija Posebni dio'!C50</f>
        <v>0</v>
      </c>
      <c r="F223" s="173">
        <f>'Rekapitulacija Posebni dio'!D50</f>
        <v>700</v>
      </c>
      <c r="G223" s="173">
        <f>'Rekapitulacija Posebni dio'!E50</f>
        <v>500</v>
      </c>
      <c r="H223" s="173">
        <f>'Rekapitulacija Posebni dio'!F50</f>
        <v>550</v>
      </c>
      <c r="I223" s="173">
        <f>'Rekapitulacija Posebni dio'!G50</f>
        <v>600</v>
      </c>
      <c r="J223" s="138"/>
      <c r="K223" s="138"/>
      <c r="L223" s="138"/>
      <c r="M223" s="138"/>
      <c r="N223" s="138"/>
      <c r="O223" s="138"/>
      <c r="P223" s="138"/>
    </row>
    <row r="224" spans="1:16" s="139" customFormat="1" x14ac:dyDescent="0.25">
      <c r="A224" s="202"/>
      <c r="B224" s="235" t="s">
        <v>548</v>
      </c>
      <c r="C224" s="234"/>
      <c r="D224" s="234" t="s">
        <v>427</v>
      </c>
      <c r="E224" s="173">
        <f>'Rekapitulacija Posebni dio'!C51</f>
        <v>2067.85</v>
      </c>
      <c r="F224" s="173">
        <f>'Rekapitulacija Posebni dio'!D51</f>
        <v>1662.630000000001</v>
      </c>
      <c r="G224" s="173">
        <f>'Rekapitulacija Posebni dio'!E51</f>
        <v>1500</v>
      </c>
      <c r="H224" s="173">
        <f>'Rekapitulacija Posebni dio'!F51</f>
        <v>1550</v>
      </c>
      <c r="I224" s="173">
        <f>'Rekapitulacija Posebni dio'!G51</f>
        <v>1600</v>
      </c>
      <c r="J224" s="138"/>
      <c r="K224" s="138"/>
      <c r="L224" s="138"/>
      <c r="M224" s="138"/>
      <c r="N224" s="138"/>
      <c r="O224" s="138"/>
      <c r="P224" s="138"/>
    </row>
    <row r="225" spans="1:16" s="139" customFormat="1" x14ac:dyDescent="0.25">
      <c r="A225" s="202"/>
      <c r="B225" s="162" t="s">
        <v>117</v>
      </c>
      <c r="C225" s="202"/>
      <c r="D225" s="202" t="s">
        <v>118</v>
      </c>
      <c r="E225" s="165">
        <f t="shared" ref="E225" si="131">SUM(E226:E228)</f>
        <v>214691.74000000002</v>
      </c>
      <c r="F225" s="165">
        <f t="shared" ref="F225:I225" si="132">SUM(F226:F228)</f>
        <v>0</v>
      </c>
      <c r="G225" s="165">
        <f t="shared" si="132"/>
        <v>0</v>
      </c>
      <c r="H225" s="165">
        <f t="shared" si="132"/>
        <v>0</v>
      </c>
      <c r="I225" s="165">
        <f t="shared" si="132"/>
        <v>0</v>
      </c>
      <c r="J225" s="138"/>
      <c r="K225" s="138"/>
      <c r="L225" s="138"/>
      <c r="M225" s="138"/>
      <c r="N225" s="138"/>
      <c r="O225" s="138"/>
      <c r="P225" s="138"/>
    </row>
    <row r="226" spans="1:16" s="139" customFormat="1" x14ac:dyDescent="0.25">
      <c r="A226" s="202"/>
      <c r="B226" s="235" t="s">
        <v>507</v>
      </c>
      <c r="C226" s="234"/>
      <c r="D226" s="234" t="s">
        <v>428</v>
      </c>
      <c r="E226" s="173">
        <f>'Rekapitulacija Posebni dio'!C53</f>
        <v>199443.64</v>
      </c>
      <c r="F226" s="173">
        <f>'Rekapitulacija Posebni dio'!D53</f>
        <v>0</v>
      </c>
      <c r="G226" s="173">
        <f>'Rekapitulacija Posebni dio'!E53</f>
        <v>0</v>
      </c>
      <c r="H226" s="173">
        <f>'Rekapitulacija Posebni dio'!F53</f>
        <v>0</v>
      </c>
      <c r="I226" s="173">
        <f>'Rekapitulacija Posebni dio'!G53</f>
        <v>0</v>
      </c>
      <c r="J226" s="138"/>
      <c r="K226" s="138"/>
      <c r="L226" s="138"/>
      <c r="M226" s="138"/>
      <c r="N226" s="138"/>
      <c r="O226" s="138"/>
      <c r="P226" s="138"/>
    </row>
    <row r="227" spans="1:16" s="139" customFormat="1" x14ac:dyDescent="0.25">
      <c r="A227" s="202"/>
      <c r="B227" s="235" t="s">
        <v>508</v>
      </c>
      <c r="C227" s="234"/>
      <c r="D227" s="234" t="s">
        <v>429</v>
      </c>
      <c r="E227" s="173">
        <f>'Rekapitulacija Posebni dio'!C54</f>
        <v>15034.88</v>
      </c>
      <c r="F227" s="173">
        <f>'Rekapitulacija Posebni dio'!D54</f>
        <v>0</v>
      </c>
      <c r="G227" s="173">
        <f>'Rekapitulacija Posebni dio'!E54</f>
        <v>0</v>
      </c>
      <c r="H227" s="173">
        <f>'Rekapitulacija Posebni dio'!F54</f>
        <v>0</v>
      </c>
      <c r="I227" s="173">
        <f>'Rekapitulacija Posebni dio'!G54</f>
        <v>0</v>
      </c>
      <c r="J227" s="138"/>
      <c r="K227" s="138"/>
      <c r="L227" s="138"/>
      <c r="M227" s="138"/>
      <c r="N227" s="138"/>
      <c r="O227" s="138"/>
      <c r="P227" s="138"/>
    </row>
    <row r="228" spans="1:16" s="139" customFormat="1" x14ac:dyDescent="0.25">
      <c r="A228" s="202"/>
      <c r="B228" s="235" t="s">
        <v>509</v>
      </c>
      <c r="C228" s="202"/>
      <c r="D228" s="234" t="s">
        <v>549</v>
      </c>
      <c r="E228" s="173">
        <f>'Rekapitulacija Posebni dio'!C55</f>
        <v>213.22</v>
      </c>
      <c r="F228" s="173">
        <f>'Rekapitulacija Posebni dio'!D55</f>
        <v>0</v>
      </c>
      <c r="G228" s="173">
        <f>'Rekapitulacija Posebni dio'!E55</f>
        <v>0</v>
      </c>
      <c r="H228" s="173">
        <f>'Rekapitulacija Posebni dio'!F55</f>
        <v>0</v>
      </c>
      <c r="I228" s="173">
        <f>'Rekapitulacija Posebni dio'!G55</f>
        <v>0</v>
      </c>
      <c r="J228" s="138"/>
      <c r="K228" s="138"/>
      <c r="L228" s="138"/>
      <c r="M228" s="138"/>
      <c r="N228" s="138"/>
      <c r="O228" s="138"/>
      <c r="P228" s="138"/>
    </row>
    <row r="229" spans="1:16" s="139" customFormat="1" x14ac:dyDescent="0.25">
      <c r="A229" s="202"/>
      <c r="B229" s="162" t="s">
        <v>119</v>
      </c>
      <c r="C229" s="202"/>
      <c r="D229" s="202" t="s">
        <v>120</v>
      </c>
      <c r="E229" s="165">
        <f t="shared" ref="E229" si="133">SUM(E230:E233)</f>
        <v>107818.18</v>
      </c>
      <c r="F229" s="165">
        <f t="shared" ref="F229:I229" si="134">SUM(F230:F233)</f>
        <v>87000</v>
      </c>
      <c r="G229" s="165">
        <f t="shared" si="134"/>
        <v>66200</v>
      </c>
      <c r="H229" s="165">
        <f t="shared" si="134"/>
        <v>69300</v>
      </c>
      <c r="I229" s="165">
        <f t="shared" si="134"/>
        <v>72400</v>
      </c>
      <c r="J229" s="138"/>
      <c r="K229" s="138"/>
      <c r="L229" s="138"/>
      <c r="M229" s="138"/>
      <c r="N229" s="138"/>
      <c r="O229" s="138"/>
      <c r="P229" s="138"/>
    </row>
    <row r="230" spans="1:16" s="139" customFormat="1" x14ac:dyDescent="0.25">
      <c r="A230" s="202"/>
      <c r="B230" s="235" t="s">
        <v>510</v>
      </c>
      <c r="C230" s="202"/>
      <c r="D230" s="234" t="s">
        <v>432</v>
      </c>
      <c r="E230" s="173">
        <f>'Rekapitulacija Posebni dio'!C57</f>
        <v>26651.439999999999</v>
      </c>
      <c r="F230" s="173">
        <f>'Rekapitulacija Posebni dio'!D57</f>
        <v>29000</v>
      </c>
      <c r="G230" s="173">
        <f>'Rekapitulacija Posebni dio'!E57</f>
        <v>27000</v>
      </c>
      <c r="H230" s="173">
        <f>'Rekapitulacija Posebni dio'!F57</f>
        <v>27500</v>
      </c>
      <c r="I230" s="173">
        <f>'Rekapitulacija Posebni dio'!G57</f>
        <v>28000</v>
      </c>
      <c r="J230" s="138"/>
      <c r="K230" s="138"/>
      <c r="L230" s="138"/>
      <c r="M230" s="138"/>
      <c r="N230" s="138"/>
      <c r="O230" s="138"/>
      <c r="P230" s="138"/>
    </row>
    <row r="231" spans="1:16" s="139" customFormat="1" x14ac:dyDescent="0.25">
      <c r="A231" s="202"/>
      <c r="B231" s="235" t="s">
        <v>511</v>
      </c>
      <c r="C231" s="202"/>
      <c r="D231" s="234" t="s">
        <v>433</v>
      </c>
      <c r="E231" s="173">
        <f>'Rekapitulacija Posebni dio'!C58</f>
        <v>2531.2399999999998</v>
      </c>
      <c r="F231" s="173">
        <f>'Rekapitulacija Posebni dio'!D58</f>
        <v>2000</v>
      </c>
      <c r="G231" s="173">
        <f>'Rekapitulacija Posebni dio'!E58</f>
        <v>2200</v>
      </c>
      <c r="H231" s="173">
        <f>'Rekapitulacija Posebni dio'!F58</f>
        <v>2300</v>
      </c>
      <c r="I231" s="173">
        <f>'Rekapitulacija Posebni dio'!G58</f>
        <v>2400</v>
      </c>
      <c r="J231" s="138"/>
      <c r="K231" s="138"/>
      <c r="L231" s="138"/>
      <c r="M231" s="138"/>
      <c r="N231" s="138"/>
      <c r="O231" s="138"/>
      <c r="P231" s="138"/>
    </row>
    <row r="232" spans="1:16" s="139" customFormat="1" x14ac:dyDescent="0.25">
      <c r="A232" s="202"/>
      <c r="B232" s="235" t="s">
        <v>512</v>
      </c>
      <c r="C232" s="202"/>
      <c r="D232" s="234" t="s">
        <v>434</v>
      </c>
      <c r="E232" s="173">
        <f>'Rekapitulacija Posebni dio'!C59</f>
        <v>21396.27</v>
      </c>
      <c r="F232" s="173">
        <f>'Rekapitulacija Posebni dio'!D59</f>
        <v>36000</v>
      </c>
      <c r="G232" s="173">
        <f>'Rekapitulacija Posebni dio'!E59</f>
        <v>20000</v>
      </c>
      <c r="H232" s="173">
        <f>'Rekapitulacija Posebni dio'!F59</f>
        <v>22000</v>
      </c>
      <c r="I232" s="173">
        <f>'Rekapitulacija Posebni dio'!G59</f>
        <v>24000</v>
      </c>
      <c r="J232" s="138"/>
      <c r="K232" s="138"/>
      <c r="L232" s="138"/>
      <c r="M232" s="138"/>
      <c r="N232" s="138"/>
      <c r="O232" s="138"/>
      <c r="P232" s="138"/>
    </row>
    <row r="233" spans="1:16" s="139" customFormat="1" x14ac:dyDescent="0.25">
      <c r="A233" s="202"/>
      <c r="B233" s="235" t="s">
        <v>513</v>
      </c>
      <c r="C233" s="202"/>
      <c r="D233" s="234" t="s">
        <v>431</v>
      </c>
      <c r="E233" s="173">
        <f>'Rekapitulacija Posebni dio'!C60</f>
        <v>57239.23</v>
      </c>
      <c r="F233" s="173">
        <f>'Rekapitulacija Posebni dio'!D60</f>
        <v>20000</v>
      </c>
      <c r="G233" s="173">
        <f>'Rekapitulacija Posebni dio'!E60</f>
        <v>17000</v>
      </c>
      <c r="H233" s="173">
        <f>'Rekapitulacija Posebni dio'!F60</f>
        <v>17500</v>
      </c>
      <c r="I233" s="173">
        <f>'Rekapitulacija Posebni dio'!G60</f>
        <v>18000</v>
      </c>
      <c r="J233" s="138"/>
      <c r="K233" s="138"/>
      <c r="L233" s="138"/>
      <c r="M233" s="138"/>
      <c r="N233" s="138"/>
      <c r="O233" s="138"/>
      <c r="P233" s="138"/>
    </row>
    <row r="234" spans="1:16" s="139" customFormat="1" x14ac:dyDescent="0.25">
      <c r="A234" s="202"/>
      <c r="B234" s="162" t="s">
        <v>121</v>
      </c>
      <c r="C234" s="202"/>
      <c r="D234" s="246" t="s">
        <v>122</v>
      </c>
      <c r="E234" s="165">
        <f t="shared" ref="E234" si="135">SUM(E235:E238)</f>
        <v>1636.8400000000001</v>
      </c>
      <c r="F234" s="165">
        <f t="shared" ref="F234:I234" si="136">SUM(F235:F238)</f>
        <v>13272.28</v>
      </c>
      <c r="G234" s="165">
        <f t="shared" si="136"/>
        <v>6050</v>
      </c>
      <c r="H234" s="165">
        <f t="shared" si="136"/>
        <v>6600</v>
      </c>
      <c r="I234" s="165">
        <f t="shared" si="136"/>
        <v>7250</v>
      </c>
      <c r="J234" s="138"/>
      <c r="K234" s="138"/>
      <c r="L234" s="138"/>
      <c r="M234" s="138"/>
      <c r="N234" s="138"/>
      <c r="O234" s="138"/>
      <c r="P234" s="138"/>
    </row>
    <row r="235" spans="1:16" s="139" customFormat="1" x14ac:dyDescent="0.25">
      <c r="A235" s="202"/>
      <c r="B235" s="235" t="s">
        <v>550</v>
      </c>
      <c r="C235" s="202"/>
      <c r="D235" s="357" t="s">
        <v>435</v>
      </c>
      <c r="E235" s="173">
        <f>'Rekapitulacija Posebni dio'!C62</f>
        <v>1030.3800000000001</v>
      </c>
      <c r="F235" s="173">
        <f>'Rekapitulacija Posebni dio'!D62</f>
        <v>7200</v>
      </c>
      <c r="G235" s="173">
        <f>'Rekapitulacija Posebni dio'!E62</f>
        <v>2500</v>
      </c>
      <c r="H235" s="173">
        <f>'Rekapitulacija Posebni dio'!F62</f>
        <v>2750</v>
      </c>
      <c r="I235" s="173">
        <f>'Rekapitulacija Posebni dio'!G62</f>
        <v>3000</v>
      </c>
      <c r="J235" s="138"/>
      <c r="K235" s="138"/>
      <c r="L235" s="138"/>
      <c r="M235" s="138"/>
      <c r="N235" s="138"/>
      <c r="O235" s="138"/>
      <c r="P235" s="138"/>
    </row>
    <row r="236" spans="1:16" s="139" customFormat="1" x14ac:dyDescent="0.25">
      <c r="A236" s="202"/>
      <c r="B236" s="235" t="s">
        <v>551</v>
      </c>
      <c r="C236" s="202"/>
      <c r="D236" s="357" t="s">
        <v>437</v>
      </c>
      <c r="E236" s="173">
        <f>'Rekapitulacija Posebni dio'!C63</f>
        <v>191.25</v>
      </c>
      <c r="F236" s="173">
        <f>'Rekapitulacija Posebni dio'!D63</f>
        <v>3000</v>
      </c>
      <c r="G236" s="173">
        <f>'Rekapitulacija Posebni dio'!E63</f>
        <v>2750</v>
      </c>
      <c r="H236" s="173">
        <f>'Rekapitulacija Posebni dio'!F63</f>
        <v>2850</v>
      </c>
      <c r="I236" s="173">
        <f>'Rekapitulacija Posebni dio'!G63</f>
        <v>3050</v>
      </c>
      <c r="J236" s="138"/>
      <c r="K236" s="138"/>
      <c r="L236" s="138"/>
      <c r="M236" s="138"/>
      <c r="N236" s="138"/>
      <c r="O236" s="138"/>
      <c r="P236" s="138"/>
    </row>
    <row r="237" spans="1:16" s="139" customFormat="1" x14ac:dyDescent="0.25">
      <c r="A237" s="202"/>
      <c r="B237" s="235" t="s">
        <v>552</v>
      </c>
      <c r="C237" s="202"/>
      <c r="D237" s="357" t="s">
        <v>436</v>
      </c>
      <c r="E237" s="173">
        <f>'Rekapitulacija Posebni dio'!C64</f>
        <v>415.21</v>
      </c>
      <c r="F237" s="173">
        <f>'Rekapitulacija Posebni dio'!D64</f>
        <v>2500</v>
      </c>
      <c r="G237" s="173">
        <f>'Rekapitulacija Posebni dio'!E64</f>
        <v>500</v>
      </c>
      <c r="H237" s="173">
        <f>'Rekapitulacija Posebni dio'!F64</f>
        <v>600</v>
      </c>
      <c r="I237" s="173">
        <f>'Rekapitulacija Posebni dio'!G64</f>
        <v>700</v>
      </c>
      <c r="J237" s="138"/>
      <c r="K237" s="138"/>
      <c r="L237" s="138"/>
      <c r="M237" s="138"/>
      <c r="N237" s="138"/>
      <c r="O237" s="138"/>
      <c r="P237" s="138"/>
    </row>
    <row r="238" spans="1:16" s="139" customFormat="1" x14ac:dyDescent="0.25">
      <c r="A238" s="202"/>
      <c r="B238" s="235" t="s">
        <v>553</v>
      </c>
      <c r="C238" s="202"/>
      <c r="D238" s="358" t="s">
        <v>438</v>
      </c>
      <c r="E238" s="173">
        <f>'Rekapitulacija Posebni dio'!C65</f>
        <v>0</v>
      </c>
      <c r="F238" s="173">
        <f>'Rekapitulacija Posebni dio'!D65</f>
        <v>572.28</v>
      </c>
      <c r="G238" s="173">
        <f>'Rekapitulacija Posebni dio'!E65</f>
        <v>300</v>
      </c>
      <c r="H238" s="173">
        <f>'Rekapitulacija Posebni dio'!F65</f>
        <v>400</v>
      </c>
      <c r="I238" s="173">
        <f>'Rekapitulacija Posebni dio'!G65</f>
        <v>500</v>
      </c>
      <c r="J238" s="138"/>
      <c r="K238" s="138"/>
      <c r="L238" s="138"/>
      <c r="M238" s="138"/>
      <c r="N238" s="138"/>
      <c r="O238" s="138"/>
      <c r="P238" s="138"/>
    </row>
    <row r="239" spans="1:16" s="139" customFormat="1" x14ac:dyDescent="0.25">
      <c r="A239" s="202"/>
      <c r="B239" s="162" t="s">
        <v>123</v>
      </c>
      <c r="C239" s="202"/>
      <c r="D239" s="246" t="s">
        <v>124</v>
      </c>
      <c r="E239" s="165">
        <f t="shared" ref="E239:I239" si="137">SUM(E240)</f>
        <v>4563.8999999999996</v>
      </c>
      <c r="F239" s="165">
        <f t="shared" si="137"/>
        <v>6636.14</v>
      </c>
      <c r="G239" s="165">
        <f t="shared" si="137"/>
        <v>5000</v>
      </c>
      <c r="H239" s="165">
        <f t="shared" si="137"/>
        <v>5250</v>
      </c>
      <c r="I239" s="165">
        <f t="shared" si="137"/>
        <v>5500</v>
      </c>
      <c r="J239" s="138"/>
      <c r="K239" s="138"/>
      <c r="L239" s="138"/>
      <c r="M239" s="138"/>
      <c r="N239" s="138"/>
      <c r="O239" s="138"/>
      <c r="P239" s="138"/>
    </row>
    <row r="240" spans="1:16" s="139" customFormat="1" x14ac:dyDescent="0.25">
      <c r="A240" s="202"/>
      <c r="B240" s="235" t="s">
        <v>514</v>
      </c>
      <c r="C240" s="202"/>
      <c r="D240" s="244" t="s">
        <v>124</v>
      </c>
      <c r="E240" s="173">
        <f>'Rekapitulacija Posebni dio'!C67</f>
        <v>4563.8999999999996</v>
      </c>
      <c r="F240" s="173">
        <f>'Rekapitulacija Posebni dio'!D67</f>
        <v>6636.14</v>
      </c>
      <c r="G240" s="173">
        <f>'Rekapitulacija Posebni dio'!E67</f>
        <v>5000</v>
      </c>
      <c r="H240" s="173">
        <f>'Rekapitulacija Posebni dio'!F67</f>
        <v>5250</v>
      </c>
      <c r="I240" s="173">
        <f>'Rekapitulacija Posebni dio'!G67</f>
        <v>5500</v>
      </c>
      <c r="J240" s="138"/>
      <c r="K240" s="138"/>
      <c r="L240" s="138"/>
      <c r="M240" s="138"/>
      <c r="N240" s="138"/>
      <c r="O240" s="138"/>
      <c r="P240" s="138"/>
    </row>
    <row r="241" spans="1:16" s="139" customFormat="1" x14ac:dyDescent="0.25">
      <c r="A241" s="202"/>
      <c r="B241" s="162" t="s">
        <v>125</v>
      </c>
      <c r="C241" s="202"/>
      <c r="D241" s="246" t="s">
        <v>126</v>
      </c>
      <c r="E241" s="165">
        <f t="shared" ref="E241:I241" si="138">SUM(E242)</f>
        <v>3339.92</v>
      </c>
      <c r="F241" s="165">
        <f t="shared" si="138"/>
        <v>9290.6</v>
      </c>
      <c r="G241" s="165">
        <f t="shared" si="138"/>
        <v>2500</v>
      </c>
      <c r="H241" s="165">
        <f t="shared" si="138"/>
        <v>2750</v>
      </c>
      <c r="I241" s="165">
        <f t="shared" si="138"/>
        <v>3000</v>
      </c>
      <c r="J241" s="138"/>
      <c r="K241" s="138"/>
      <c r="L241" s="138"/>
      <c r="M241" s="138"/>
      <c r="N241" s="138"/>
      <c r="O241" s="138"/>
      <c r="P241" s="138"/>
    </row>
    <row r="242" spans="1:16" s="139" customFormat="1" x14ac:dyDescent="0.25">
      <c r="A242" s="202"/>
      <c r="B242" s="235" t="s">
        <v>515</v>
      </c>
      <c r="C242" s="202"/>
      <c r="D242" s="244" t="s">
        <v>126</v>
      </c>
      <c r="E242" s="173">
        <f>'Rekapitulacija Posebni dio'!C69</f>
        <v>3339.92</v>
      </c>
      <c r="F242" s="173">
        <f>'Rekapitulacija Posebni dio'!D69</f>
        <v>9290.6</v>
      </c>
      <c r="G242" s="173">
        <f>'Rekapitulacija Posebni dio'!E69</f>
        <v>2500</v>
      </c>
      <c r="H242" s="173">
        <f>'Rekapitulacija Posebni dio'!F69</f>
        <v>2750</v>
      </c>
      <c r="I242" s="173">
        <f>'Rekapitulacija Posebni dio'!G69</f>
        <v>3000</v>
      </c>
      <c r="J242" s="138"/>
      <c r="K242" s="138"/>
      <c r="L242" s="138"/>
      <c r="M242" s="138"/>
      <c r="N242" s="138"/>
      <c r="O242" s="138"/>
      <c r="P242" s="138"/>
    </row>
    <row r="243" spans="1:16" s="139" customFormat="1" x14ac:dyDescent="0.25">
      <c r="A243" s="202"/>
      <c r="B243" s="162" t="s">
        <v>127</v>
      </c>
      <c r="C243" s="202"/>
      <c r="D243" s="246" t="s">
        <v>128</v>
      </c>
      <c r="E243" s="165">
        <f t="shared" ref="E243" si="139">E244+E248+E252+E254+E259+E261+E263+E268+E270</f>
        <v>186036.66000000003</v>
      </c>
      <c r="F243" s="165">
        <f t="shared" ref="F243:I243" si="140">F244+F248+F252+F254+F259+F261+F263+F268+F270</f>
        <v>220863.46000000002</v>
      </c>
      <c r="G243" s="165">
        <f t="shared" si="140"/>
        <v>202846.33000000002</v>
      </c>
      <c r="H243" s="165">
        <f t="shared" si="140"/>
        <v>211696.33000000002</v>
      </c>
      <c r="I243" s="165">
        <f t="shared" si="140"/>
        <v>220546.33000000002</v>
      </c>
      <c r="J243" s="138"/>
      <c r="K243" s="138"/>
      <c r="L243" s="138"/>
      <c r="M243" s="138"/>
      <c r="N243" s="138"/>
      <c r="O243" s="138"/>
      <c r="P243" s="138"/>
    </row>
    <row r="244" spans="1:16" s="139" customFormat="1" x14ac:dyDescent="0.25">
      <c r="A244" s="202"/>
      <c r="B244" s="162" t="s">
        <v>129</v>
      </c>
      <c r="C244" s="202"/>
      <c r="D244" s="359" t="s">
        <v>130</v>
      </c>
      <c r="E244" s="165">
        <f>SUM(E245:E247)</f>
        <v>20247.75</v>
      </c>
      <c r="F244" s="165">
        <f t="shared" ref="F244:I244" si="141">SUM(F245:F247)</f>
        <v>23235.65</v>
      </c>
      <c r="G244" s="165">
        <f t="shared" si="141"/>
        <v>18950</v>
      </c>
      <c r="H244" s="165">
        <f t="shared" si="141"/>
        <v>19550</v>
      </c>
      <c r="I244" s="165">
        <f t="shared" si="141"/>
        <v>20150</v>
      </c>
      <c r="J244" s="138"/>
      <c r="K244" s="138"/>
      <c r="L244" s="138"/>
      <c r="M244" s="138"/>
      <c r="N244" s="138"/>
      <c r="O244" s="138"/>
      <c r="P244" s="138"/>
    </row>
    <row r="245" spans="1:16" s="139" customFormat="1" x14ac:dyDescent="0.25">
      <c r="A245" s="202"/>
      <c r="B245" s="235" t="s">
        <v>516</v>
      </c>
      <c r="C245" s="202"/>
      <c r="D245" s="358" t="s">
        <v>439</v>
      </c>
      <c r="E245" s="173">
        <f>'Rekapitulacija Posebni dio'!C72</f>
        <v>19646.55</v>
      </c>
      <c r="F245" s="173">
        <f>'Rekapitulacija Posebni dio'!D72</f>
        <v>19500</v>
      </c>
      <c r="G245" s="173">
        <f>'Rekapitulacija Posebni dio'!E72</f>
        <v>18000</v>
      </c>
      <c r="H245" s="173">
        <f>'Rekapitulacija Posebni dio'!F72</f>
        <v>18500</v>
      </c>
      <c r="I245" s="173">
        <f>'Rekapitulacija Posebni dio'!G72</f>
        <v>19000</v>
      </c>
      <c r="J245" s="138"/>
      <c r="K245" s="138"/>
      <c r="L245" s="138"/>
      <c r="M245" s="138"/>
      <c r="N245" s="138"/>
      <c r="O245" s="138"/>
      <c r="P245" s="138"/>
    </row>
    <row r="246" spans="1:16" s="139" customFormat="1" x14ac:dyDescent="0.25">
      <c r="A246" s="202"/>
      <c r="B246" s="235" t="s">
        <v>517</v>
      </c>
      <c r="C246" s="202"/>
      <c r="D246" s="358" t="s">
        <v>440</v>
      </c>
      <c r="E246" s="173">
        <f>'Rekapitulacija Posebni dio'!C73</f>
        <v>594.20000000000005</v>
      </c>
      <c r="F246" s="173">
        <f>'Rekapitulacija Posebni dio'!D73</f>
        <v>1735.65</v>
      </c>
      <c r="G246" s="173">
        <f>'Rekapitulacija Posebni dio'!E73</f>
        <v>600</v>
      </c>
      <c r="H246" s="173">
        <f>'Rekapitulacija Posebni dio'!F73</f>
        <v>650</v>
      </c>
      <c r="I246" s="173">
        <f>'Rekapitulacija Posebni dio'!G73</f>
        <v>700</v>
      </c>
      <c r="K246" s="138"/>
      <c r="L246" s="138"/>
      <c r="M246" s="138"/>
      <c r="N246" s="138"/>
      <c r="O246" s="138"/>
      <c r="P246" s="138"/>
    </row>
    <row r="247" spans="1:16" s="139" customFormat="1" x14ac:dyDescent="0.25">
      <c r="A247" s="202"/>
      <c r="B247" s="235" t="s">
        <v>576</v>
      </c>
      <c r="C247" s="202"/>
      <c r="D247" s="358" t="s">
        <v>577</v>
      </c>
      <c r="E247" s="173">
        <f>'Rekapitulacija Posebni dio'!C74</f>
        <v>7</v>
      </c>
      <c r="F247" s="173">
        <f>'Rekapitulacija Posebni dio'!D74</f>
        <v>2000</v>
      </c>
      <c r="G247" s="173">
        <f>'Rekapitulacija Posebni dio'!E74</f>
        <v>350</v>
      </c>
      <c r="H247" s="173">
        <f>'Rekapitulacija Posebni dio'!F74</f>
        <v>400</v>
      </c>
      <c r="I247" s="173">
        <f>'Rekapitulacija Posebni dio'!G74</f>
        <v>450</v>
      </c>
      <c r="K247" s="138"/>
      <c r="L247" s="138"/>
      <c r="M247" s="138"/>
      <c r="N247" s="138"/>
      <c r="O247" s="138"/>
      <c r="P247" s="138"/>
    </row>
    <row r="248" spans="1:16" s="139" customFormat="1" x14ac:dyDescent="0.25">
      <c r="A248" s="202"/>
      <c r="B248" s="162" t="s">
        <v>131</v>
      </c>
      <c r="C248" s="202"/>
      <c r="D248" s="246" t="s">
        <v>132</v>
      </c>
      <c r="E248" s="165">
        <f t="shared" ref="E248" si="142">SUM(E249:E251)</f>
        <v>15181.16</v>
      </c>
      <c r="F248" s="165">
        <f t="shared" ref="F248:I248" si="143">SUM(F249:F251)</f>
        <v>21053.72</v>
      </c>
      <c r="G248" s="165">
        <f t="shared" si="143"/>
        <v>13500</v>
      </c>
      <c r="H248" s="165">
        <f t="shared" si="143"/>
        <v>15750</v>
      </c>
      <c r="I248" s="165">
        <f t="shared" si="143"/>
        <v>18000</v>
      </c>
      <c r="K248" s="138"/>
      <c r="L248" s="138"/>
      <c r="M248" s="138"/>
      <c r="N248" s="138"/>
      <c r="O248" s="138"/>
      <c r="P248" s="138"/>
    </row>
    <row r="249" spans="1:16" s="139" customFormat="1" x14ac:dyDescent="0.25">
      <c r="A249" s="202"/>
      <c r="B249" s="235" t="s">
        <v>538</v>
      </c>
      <c r="C249" s="202"/>
      <c r="D249" s="358" t="s">
        <v>442</v>
      </c>
      <c r="E249" s="173">
        <f>'Rekapitulacija Posebni dio'!C76</f>
        <v>5082.59</v>
      </c>
      <c r="F249" s="173">
        <f>'Rekapitulacija Posebni dio'!D76</f>
        <v>10500</v>
      </c>
      <c r="G249" s="173">
        <f>'Rekapitulacija Posebni dio'!E76</f>
        <v>5000</v>
      </c>
      <c r="H249" s="173">
        <f>'Rekapitulacija Posebni dio'!F76</f>
        <v>6000</v>
      </c>
      <c r="I249" s="173">
        <f>'Rekapitulacija Posebni dio'!G76</f>
        <v>7000</v>
      </c>
      <c r="K249" s="138"/>
      <c r="L249" s="138"/>
      <c r="M249" s="138"/>
      <c r="N249" s="138"/>
      <c r="O249" s="138"/>
      <c r="P249" s="138"/>
    </row>
    <row r="250" spans="1:16" s="139" customFormat="1" x14ac:dyDescent="0.25">
      <c r="A250" s="202"/>
      <c r="B250" s="235" t="s">
        <v>539</v>
      </c>
      <c r="C250" s="202"/>
      <c r="D250" s="358" t="s">
        <v>443</v>
      </c>
      <c r="E250" s="173">
        <f>'Rekapitulacija Posebni dio'!C77</f>
        <v>9438.4</v>
      </c>
      <c r="F250" s="173">
        <f>'Rekapitulacija Posebni dio'!D77</f>
        <v>6500</v>
      </c>
      <c r="G250" s="173">
        <f>'Rekapitulacija Posebni dio'!E77</f>
        <v>5000</v>
      </c>
      <c r="H250" s="173">
        <f>'Rekapitulacija Posebni dio'!F77</f>
        <v>6000</v>
      </c>
      <c r="I250" s="173">
        <f>'Rekapitulacija Posebni dio'!G77</f>
        <v>7000</v>
      </c>
      <c r="K250" s="138"/>
      <c r="L250" s="138"/>
      <c r="M250" s="138"/>
      <c r="N250" s="138"/>
      <c r="O250" s="138"/>
      <c r="P250" s="138"/>
    </row>
    <row r="251" spans="1:16" s="139" customFormat="1" x14ac:dyDescent="0.25">
      <c r="A251" s="202"/>
      <c r="B251" s="235" t="s">
        <v>540</v>
      </c>
      <c r="C251" s="202"/>
      <c r="D251" s="358" t="s">
        <v>441</v>
      </c>
      <c r="E251" s="173">
        <f>'Rekapitulacija Posebni dio'!C78</f>
        <v>660.17</v>
      </c>
      <c r="F251" s="173">
        <f>'Rekapitulacija Posebni dio'!D78</f>
        <v>4053.7200000000012</v>
      </c>
      <c r="G251" s="173">
        <f>'Rekapitulacija Posebni dio'!E78</f>
        <v>3500</v>
      </c>
      <c r="H251" s="173">
        <f>'Rekapitulacija Posebni dio'!F78</f>
        <v>3750</v>
      </c>
      <c r="I251" s="173">
        <f>'Rekapitulacija Posebni dio'!G78</f>
        <v>4000</v>
      </c>
      <c r="J251" s="138"/>
      <c r="K251" s="138"/>
      <c r="L251" s="138"/>
      <c r="M251" s="138"/>
      <c r="N251" s="138"/>
      <c r="O251" s="138"/>
      <c r="P251" s="138"/>
    </row>
    <row r="252" spans="1:16" s="139" customFormat="1" x14ac:dyDescent="0.25">
      <c r="A252" s="202"/>
      <c r="B252" s="162" t="s">
        <v>133</v>
      </c>
      <c r="C252" s="202"/>
      <c r="D252" s="246" t="s">
        <v>134</v>
      </c>
      <c r="E252" s="165">
        <f t="shared" ref="E252:I252" si="144">SUM(E253)</f>
        <v>0</v>
      </c>
      <c r="F252" s="165">
        <f t="shared" si="144"/>
        <v>663.61</v>
      </c>
      <c r="G252" s="165">
        <f t="shared" si="144"/>
        <v>663.61</v>
      </c>
      <c r="H252" s="165">
        <f t="shared" si="144"/>
        <v>663.61</v>
      </c>
      <c r="I252" s="165">
        <f t="shared" si="144"/>
        <v>663.61</v>
      </c>
      <c r="J252" s="138"/>
      <c r="K252" s="138"/>
      <c r="L252" s="138"/>
      <c r="M252" s="138"/>
      <c r="N252" s="138"/>
      <c r="O252" s="138"/>
      <c r="P252" s="138"/>
    </row>
    <row r="253" spans="1:16" s="139" customFormat="1" x14ac:dyDescent="0.25">
      <c r="A253" s="202"/>
      <c r="B253" s="235" t="s">
        <v>518</v>
      </c>
      <c r="C253" s="202"/>
      <c r="D253" s="244" t="s">
        <v>134</v>
      </c>
      <c r="E253" s="173">
        <f>'Rekapitulacija Posebni dio'!C80</f>
        <v>0</v>
      </c>
      <c r="F253" s="173">
        <f>'Rekapitulacija Posebni dio'!D80</f>
        <v>663.61</v>
      </c>
      <c r="G253" s="173">
        <f>'Rekapitulacija Posebni dio'!E80</f>
        <v>663.61</v>
      </c>
      <c r="H253" s="173">
        <f>'Rekapitulacija Posebni dio'!F80</f>
        <v>663.61</v>
      </c>
      <c r="I253" s="173">
        <f>'Rekapitulacija Posebni dio'!G80</f>
        <v>663.61</v>
      </c>
      <c r="J253" s="138"/>
      <c r="K253" s="138"/>
      <c r="L253" s="138"/>
      <c r="M253" s="138"/>
      <c r="N253" s="138"/>
      <c r="O253" s="138"/>
      <c r="P253" s="138"/>
    </row>
    <row r="254" spans="1:16" s="139" customFormat="1" x14ac:dyDescent="0.25">
      <c r="A254" s="202"/>
      <c r="B254" s="184" t="s">
        <v>135</v>
      </c>
      <c r="C254" s="161"/>
      <c r="D254" s="248" t="s">
        <v>136</v>
      </c>
      <c r="E254" s="165">
        <f t="shared" ref="E254" si="145">SUM(E255:E258)</f>
        <v>23343.89</v>
      </c>
      <c r="F254" s="165">
        <f t="shared" ref="F254:I254" si="146">SUM(F255:F258)</f>
        <v>19908.419999999998</v>
      </c>
      <c r="G254" s="165">
        <f t="shared" si="146"/>
        <v>26500</v>
      </c>
      <c r="H254" s="165">
        <f t="shared" si="146"/>
        <v>27300</v>
      </c>
      <c r="I254" s="165">
        <f t="shared" si="146"/>
        <v>28100</v>
      </c>
      <c r="J254" s="138"/>
      <c r="K254" s="138"/>
      <c r="L254" s="138"/>
      <c r="M254" s="138"/>
      <c r="N254" s="138"/>
      <c r="O254" s="138"/>
      <c r="P254" s="138"/>
    </row>
    <row r="255" spans="1:16" s="139" customFormat="1" x14ac:dyDescent="0.25">
      <c r="A255" s="202"/>
      <c r="B255" s="235" t="s">
        <v>554</v>
      </c>
      <c r="C255" s="202"/>
      <c r="D255" s="358" t="s">
        <v>445</v>
      </c>
      <c r="E255" s="173">
        <f>'Rekapitulacija Posebni dio'!C82</f>
        <v>5937.95</v>
      </c>
      <c r="F255" s="173">
        <f>'Rekapitulacija Posebni dio'!D82</f>
        <v>7500</v>
      </c>
      <c r="G255" s="173">
        <f>'Rekapitulacija Posebni dio'!E82</f>
        <v>6000</v>
      </c>
      <c r="H255" s="173">
        <f>'Rekapitulacija Posebni dio'!F82</f>
        <v>6200</v>
      </c>
      <c r="I255" s="173">
        <f>'Rekapitulacija Posebni dio'!G82</f>
        <v>6400</v>
      </c>
      <c r="J255" s="138"/>
      <c r="K255" s="138"/>
      <c r="L255" s="138"/>
      <c r="M255" s="138"/>
      <c r="N255" s="138"/>
      <c r="O255" s="138"/>
      <c r="P255" s="138"/>
    </row>
    <row r="256" spans="1:16" s="139" customFormat="1" x14ac:dyDescent="0.25">
      <c r="A256" s="202"/>
      <c r="B256" s="235" t="s">
        <v>555</v>
      </c>
      <c r="C256" s="202"/>
      <c r="D256" s="358" t="s">
        <v>446</v>
      </c>
      <c r="E256" s="173">
        <f>'Rekapitulacija Posebni dio'!C83</f>
        <v>15622.79</v>
      </c>
      <c r="F256" s="173">
        <f>'Rekapitulacija Posebni dio'!D83</f>
        <v>10500</v>
      </c>
      <c r="G256" s="173">
        <f>'Rekapitulacija Posebni dio'!E83</f>
        <v>18000</v>
      </c>
      <c r="H256" s="173">
        <f>'Rekapitulacija Posebni dio'!F83</f>
        <v>18500</v>
      </c>
      <c r="I256" s="173">
        <f>'Rekapitulacija Posebni dio'!G83</f>
        <v>19000</v>
      </c>
      <c r="J256" s="138"/>
      <c r="K256" s="138"/>
      <c r="L256" s="138"/>
      <c r="M256" s="138"/>
      <c r="N256" s="138"/>
      <c r="O256" s="138"/>
      <c r="P256" s="138"/>
    </row>
    <row r="257" spans="1:16" s="139" customFormat="1" x14ac:dyDescent="0.25">
      <c r="A257" s="202"/>
      <c r="B257" s="235" t="s">
        <v>556</v>
      </c>
      <c r="C257" s="202"/>
      <c r="D257" s="358" t="s">
        <v>447</v>
      </c>
      <c r="E257" s="173">
        <f>'Rekapitulacija Posebni dio'!C84</f>
        <v>1127.96</v>
      </c>
      <c r="F257" s="173">
        <f>'Rekapitulacija Posebni dio'!D84</f>
        <v>1500</v>
      </c>
      <c r="G257" s="173">
        <f>'Rekapitulacija Posebni dio'!E84</f>
        <v>1800</v>
      </c>
      <c r="H257" s="173">
        <f>'Rekapitulacija Posebni dio'!F84</f>
        <v>1850</v>
      </c>
      <c r="I257" s="173">
        <f>'Rekapitulacija Posebni dio'!G84</f>
        <v>1900</v>
      </c>
      <c r="J257" s="138"/>
      <c r="K257" s="138"/>
      <c r="L257" s="138"/>
      <c r="M257" s="138"/>
      <c r="N257" s="138"/>
      <c r="O257" s="138"/>
      <c r="P257" s="138"/>
    </row>
    <row r="258" spans="1:16" s="139" customFormat="1" x14ac:dyDescent="0.25">
      <c r="A258" s="202"/>
      <c r="B258" s="187">
        <v>32349</v>
      </c>
      <c r="C258" s="140"/>
      <c r="D258" s="360" t="s">
        <v>448</v>
      </c>
      <c r="E258" s="173">
        <f>'Rekapitulacija Posebni dio'!C85</f>
        <v>655.19000000000005</v>
      </c>
      <c r="F258" s="173">
        <f>'Rekapitulacija Posebni dio'!D85</f>
        <v>408.41999999999825</v>
      </c>
      <c r="G258" s="173">
        <f>'Rekapitulacija Posebni dio'!E85</f>
        <v>700</v>
      </c>
      <c r="H258" s="173">
        <f>'Rekapitulacija Posebni dio'!F85</f>
        <v>750</v>
      </c>
      <c r="I258" s="173">
        <f>'Rekapitulacija Posebni dio'!G85</f>
        <v>800</v>
      </c>
      <c r="J258" s="138"/>
      <c r="K258" s="138"/>
      <c r="L258" s="138"/>
      <c r="M258" s="138"/>
      <c r="N258" s="138"/>
      <c r="O258" s="138"/>
      <c r="P258" s="138"/>
    </row>
    <row r="259" spans="1:16" s="139" customFormat="1" x14ac:dyDescent="0.25">
      <c r="A259" s="202"/>
      <c r="B259" s="184">
        <v>3235</v>
      </c>
      <c r="C259" s="161"/>
      <c r="D259" s="248" t="s">
        <v>137</v>
      </c>
      <c r="E259" s="165">
        <f t="shared" ref="E259:I259" si="147">SUM(E260)</f>
        <v>0</v>
      </c>
      <c r="F259" s="165">
        <f t="shared" si="147"/>
        <v>132.72</v>
      </c>
      <c r="G259" s="165">
        <f t="shared" si="147"/>
        <v>132.72</v>
      </c>
      <c r="H259" s="165">
        <f t="shared" si="147"/>
        <v>132.72</v>
      </c>
      <c r="I259" s="165">
        <f t="shared" si="147"/>
        <v>132.72</v>
      </c>
      <c r="J259" s="138"/>
      <c r="K259" s="138"/>
      <c r="L259" s="138"/>
      <c r="M259" s="138"/>
      <c r="N259" s="138"/>
      <c r="O259" s="138"/>
      <c r="P259" s="138"/>
    </row>
    <row r="260" spans="1:16" s="139" customFormat="1" x14ac:dyDescent="0.25">
      <c r="A260" s="202"/>
      <c r="B260" s="187">
        <v>32359</v>
      </c>
      <c r="C260" s="140"/>
      <c r="D260" s="247" t="s">
        <v>137</v>
      </c>
      <c r="E260" s="173">
        <f>'Rekapitulacija Posebni dio'!C87</f>
        <v>0</v>
      </c>
      <c r="F260" s="173">
        <f>'Rekapitulacija Posebni dio'!D87</f>
        <v>132.72</v>
      </c>
      <c r="G260" s="173">
        <f>'Rekapitulacija Posebni dio'!E87</f>
        <v>132.72</v>
      </c>
      <c r="H260" s="173">
        <f>'Rekapitulacija Posebni dio'!F87</f>
        <v>132.72</v>
      </c>
      <c r="I260" s="173">
        <f>'Rekapitulacija Posebni dio'!G87</f>
        <v>132.72</v>
      </c>
      <c r="J260" s="138"/>
      <c r="K260" s="138"/>
      <c r="L260" s="138"/>
      <c r="M260" s="138"/>
      <c r="N260" s="138"/>
      <c r="O260" s="138"/>
      <c r="P260" s="138"/>
    </row>
    <row r="261" spans="1:16" s="139" customFormat="1" x14ac:dyDescent="0.25">
      <c r="A261" s="202"/>
      <c r="B261" s="184">
        <v>3236</v>
      </c>
      <c r="C261" s="161"/>
      <c r="D261" s="248" t="s">
        <v>138</v>
      </c>
      <c r="E261" s="165">
        <f t="shared" ref="E261:I261" si="148">SUM(E262)</f>
        <v>29827.13</v>
      </c>
      <c r="F261" s="165">
        <f t="shared" si="148"/>
        <v>2562.88</v>
      </c>
      <c r="G261" s="165">
        <f t="shared" si="148"/>
        <v>32000</v>
      </c>
      <c r="H261" s="165">
        <f t="shared" si="148"/>
        <v>33000</v>
      </c>
      <c r="I261" s="165">
        <f t="shared" si="148"/>
        <v>34000</v>
      </c>
      <c r="J261" s="138"/>
      <c r="K261" s="138"/>
      <c r="L261" s="138"/>
      <c r="M261" s="138"/>
      <c r="N261" s="138"/>
      <c r="O261" s="138"/>
      <c r="P261" s="138"/>
    </row>
    <row r="262" spans="1:16" s="139" customFormat="1" x14ac:dyDescent="0.25">
      <c r="A262" s="202"/>
      <c r="B262" s="187">
        <v>32369</v>
      </c>
      <c r="C262" s="140"/>
      <c r="D262" s="247" t="s">
        <v>138</v>
      </c>
      <c r="E262" s="173">
        <f>'Rekapitulacija Posebni dio'!C89</f>
        <v>29827.13</v>
      </c>
      <c r="F262" s="173">
        <f>'Rekapitulacija Posebni dio'!D89</f>
        <v>2562.88</v>
      </c>
      <c r="G262" s="173">
        <f>'Rekapitulacija Posebni dio'!E89</f>
        <v>32000</v>
      </c>
      <c r="H262" s="173">
        <f>'Rekapitulacija Posebni dio'!F89</f>
        <v>33000</v>
      </c>
      <c r="I262" s="173">
        <f>'Rekapitulacija Posebni dio'!G89</f>
        <v>34000</v>
      </c>
      <c r="J262" s="138"/>
      <c r="K262" s="138"/>
      <c r="L262" s="138"/>
      <c r="M262" s="138"/>
      <c r="N262" s="138"/>
      <c r="O262" s="138"/>
      <c r="P262" s="138"/>
    </row>
    <row r="263" spans="1:16" s="139" customFormat="1" x14ac:dyDescent="0.25">
      <c r="A263" s="202"/>
      <c r="B263" s="184">
        <v>3237</v>
      </c>
      <c r="C263" s="161"/>
      <c r="D263" s="248" t="s">
        <v>139</v>
      </c>
      <c r="E263" s="165">
        <f>SUM(E264:E267)</f>
        <v>86411.15</v>
      </c>
      <c r="F263" s="165">
        <f t="shared" ref="F263:I263" si="149">SUM(F264:F267)</f>
        <v>110480.46</v>
      </c>
      <c r="G263" s="165">
        <f t="shared" si="149"/>
        <v>90500</v>
      </c>
      <c r="H263" s="165">
        <f t="shared" si="149"/>
        <v>93350</v>
      </c>
      <c r="I263" s="165">
        <f t="shared" si="149"/>
        <v>96200</v>
      </c>
      <c r="J263" s="138"/>
      <c r="K263" s="138"/>
      <c r="L263" s="138"/>
      <c r="M263" s="138"/>
      <c r="N263" s="138"/>
      <c r="O263" s="138"/>
      <c r="P263" s="138"/>
    </row>
    <row r="264" spans="1:16" s="139" customFormat="1" x14ac:dyDescent="0.25">
      <c r="A264" s="202"/>
      <c r="B264" s="187">
        <v>32372</v>
      </c>
      <c r="C264" s="140"/>
      <c r="D264" s="247" t="s">
        <v>451</v>
      </c>
      <c r="E264" s="173">
        <f>'Rekapitulacija Posebni dio'!C91</f>
        <v>62424.14</v>
      </c>
      <c r="F264" s="173">
        <f>'Rekapitulacija Posebni dio'!D91</f>
        <v>94500</v>
      </c>
      <c r="G264" s="173">
        <f>'Rekapitulacija Posebni dio'!E91</f>
        <v>70000</v>
      </c>
      <c r="H264" s="173">
        <f>'Rekapitulacija Posebni dio'!F91</f>
        <v>71000</v>
      </c>
      <c r="I264" s="173">
        <f>'Rekapitulacija Posebni dio'!G91</f>
        <v>72000</v>
      </c>
      <c r="J264" s="138"/>
      <c r="K264" s="138"/>
      <c r="L264" s="138"/>
      <c r="M264" s="138"/>
      <c r="N264" s="138"/>
      <c r="O264" s="138"/>
      <c r="P264" s="138"/>
    </row>
    <row r="265" spans="1:16" s="139" customFormat="1" x14ac:dyDescent="0.25">
      <c r="A265" s="202"/>
      <c r="B265" s="187">
        <v>32373</v>
      </c>
      <c r="C265" s="140"/>
      <c r="D265" s="247" t="s">
        <v>557</v>
      </c>
      <c r="E265" s="173">
        <f>'Rekapitulacija Posebni dio'!C92</f>
        <v>18195.37</v>
      </c>
      <c r="F265" s="173">
        <f>'Rekapitulacija Posebni dio'!D92</f>
        <v>12000</v>
      </c>
      <c r="G265" s="173">
        <f>'Rekapitulacija Posebni dio'!E92</f>
        <v>15000</v>
      </c>
      <c r="H265" s="173">
        <f>'Rekapitulacija Posebni dio'!F92</f>
        <v>16500</v>
      </c>
      <c r="I265" s="173">
        <f>'Rekapitulacija Posebni dio'!G92</f>
        <v>18000</v>
      </c>
      <c r="J265" s="138"/>
      <c r="K265" s="138"/>
      <c r="L265" s="138"/>
      <c r="M265" s="138"/>
      <c r="N265" s="138"/>
      <c r="O265" s="138"/>
      <c r="P265" s="138"/>
    </row>
    <row r="266" spans="1:16" s="139" customFormat="1" x14ac:dyDescent="0.25">
      <c r="A266" s="202"/>
      <c r="B266" s="187">
        <v>32375</v>
      </c>
      <c r="C266" s="140"/>
      <c r="D266" s="247" t="s">
        <v>578</v>
      </c>
      <c r="E266" s="173">
        <f>'Rekapitulacija Posebni dio'!C93</f>
        <v>1312.5</v>
      </c>
      <c r="F266" s="173">
        <f>'Rekapitulacija Posebni dio'!D93</f>
        <v>0</v>
      </c>
      <c r="G266" s="173">
        <f>'Rekapitulacija Posebni dio'!E93</f>
        <v>1000</v>
      </c>
      <c r="H266" s="173">
        <f>'Rekapitulacija Posebni dio'!F93</f>
        <v>1100</v>
      </c>
      <c r="I266" s="173">
        <f>'Rekapitulacija Posebni dio'!G93</f>
        <v>1200</v>
      </c>
      <c r="J266" s="138"/>
      <c r="K266" s="138"/>
      <c r="L266" s="138"/>
      <c r="M266" s="138"/>
      <c r="N266" s="138"/>
      <c r="O266" s="138"/>
      <c r="P266" s="138"/>
    </row>
    <row r="267" spans="1:16" s="139" customFormat="1" x14ac:dyDescent="0.25">
      <c r="A267" s="202"/>
      <c r="B267" s="187">
        <v>32379</v>
      </c>
      <c r="C267" s="140"/>
      <c r="D267" s="247" t="s">
        <v>519</v>
      </c>
      <c r="E267" s="173">
        <f>'Rekapitulacija Posebni dio'!C94</f>
        <v>4479.1400000000003</v>
      </c>
      <c r="F267" s="173">
        <f>'Rekapitulacija Posebni dio'!D94</f>
        <v>3980.4600000000064</v>
      </c>
      <c r="G267" s="173">
        <f>'Rekapitulacija Posebni dio'!E94</f>
        <v>4500</v>
      </c>
      <c r="H267" s="173">
        <f>'Rekapitulacija Posebni dio'!F94</f>
        <v>4750</v>
      </c>
      <c r="I267" s="173">
        <f>'Rekapitulacija Posebni dio'!G94</f>
        <v>5000</v>
      </c>
      <c r="J267" s="138"/>
      <c r="K267" s="138"/>
      <c r="L267" s="138"/>
      <c r="M267" s="138"/>
      <c r="N267" s="138"/>
      <c r="O267" s="138"/>
      <c r="P267" s="138"/>
    </row>
    <row r="268" spans="1:16" s="139" customFormat="1" x14ac:dyDescent="0.25">
      <c r="A268" s="202"/>
      <c r="B268" s="184" t="s">
        <v>140</v>
      </c>
      <c r="C268" s="161"/>
      <c r="D268" s="248" t="s">
        <v>141</v>
      </c>
      <c r="E268" s="165">
        <f t="shared" ref="E268:I268" si="150">SUM(E269)</f>
        <v>1750.47</v>
      </c>
      <c r="F268" s="165">
        <f t="shared" si="150"/>
        <v>18581.189999999999</v>
      </c>
      <c r="G268" s="165">
        <f t="shared" si="150"/>
        <v>3500</v>
      </c>
      <c r="H268" s="165">
        <f t="shared" si="150"/>
        <v>4000</v>
      </c>
      <c r="I268" s="165">
        <f t="shared" si="150"/>
        <v>4500</v>
      </c>
      <c r="J268" s="138"/>
      <c r="K268" s="138"/>
      <c r="L268" s="138"/>
      <c r="M268" s="138"/>
      <c r="N268" s="138"/>
      <c r="O268" s="138"/>
      <c r="P268" s="138"/>
    </row>
    <row r="269" spans="1:16" s="139" customFormat="1" x14ac:dyDescent="0.25">
      <c r="A269" s="202"/>
      <c r="B269" s="187">
        <v>32389</v>
      </c>
      <c r="C269" s="140"/>
      <c r="D269" s="247" t="s">
        <v>141</v>
      </c>
      <c r="E269" s="173">
        <f>'Rekapitulacija Posebni dio'!C96</f>
        <v>1750.47</v>
      </c>
      <c r="F269" s="173">
        <f>'Rekapitulacija Posebni dio'!D96</f>
        <v>18581.189999999999</v>
      </c>
      <c r="G269" s="173">
        <f>'Rekapitulacija Posebni dio'!E96</f>
        <v>3500</v>
      </c>
      <c r="H269" s="173">
        <f>'Rekapitulacija Posebni dio'!F96</f>
        <v>4000</v>
      </c>
      <c r="I269" s="173">
        <f>'Rekapitulacija Posebni dio'!G96</f>
        <v>4500</v>
      </c>
      <c r="J269" s="138"/>
      <c r="K269" s="138"/>
      <c r="L269" s="138"/>
      <c r="M269" s="138"/>
      <c r="N269" s="138"/>
      <c r="O269" s="138"/>
      <c r="P269" s="138"/>
    </row>
    <row r="270" spans="1:16" s="139" customFormat="1" x14ac:dyDescent="0.25">
      <c r="A270" s="202"/>
      <c r="B270" s="184" t="s">
        <v>142</v>
      </c>
      <c r="C270" s="161"/>
      <c r="D270" s="248" t="s">
        <v>143</v>
      </c>
      <c r="E270" s="165">
        <f t="shared" ref="E270" si="151">SUM(E271:E273)</f>
        <v>9275.11</v>
      </c>
      <c r="F270" s="165">
        <f t="shared" ref="F270:I270" si="152">SUM(F271:F273)</f>
        <v>24244.81</v>
      </c>
      <c r="G270" s="165">
        <f t="shared" si="152"/>
        <v>17100</v>
      </c>
      <c r="H270" s="165">
        <f t="shared" si="152"/>
        <v>17950</v>
      </c>
      <c r="I270" s="165">
        <f t="shared" si="152"/>
        <v>18800</v>
      </c>
      <c r="J270" s="138"/>
      <c r="K270" s="138"/>
      <c r="L270" s="138"/>
      <c r="M270" s="138"/>
      <c r="N270" s="138"/>
      <c r="O270" s="138"/>
      <c r="P270" s="138"/>
    </row>
    <row r="271" spans="1:16" s="139" customFormat="1" x14ac:dyDescent="0.25">
      <c r="A271" s="202"/>
      <c r="B271" s="361">
        <v>32394</v>
      </c>
      <c r="C271" s="140"/>
      <c r="D271" s="360" t="s">
        <v>454</v>
      </c>
      <c r="E271" s="173">
        <f>'Rekapitulacija Posebni dio'!C98</f>
        <v>2726.44</v>
      </c>
      <c r="F271" s="173">
        <f>'Rekapitulacija Posebni dio'!D98</f>
        <v>4000</v>
      </c>
      <c r="G271" s="173">
        <f>'Rekapitulacija Posebni dio'!E98</f>
        <v>3800</v>
      </c>
      <c r="H271" s="173">
        <f>'Rekapitulacija Posebni dio'!F98</f>
        <v>4100</v>
      </c>
      <c r="I271" s="173">
        <f>'Rekapitulacija Posebni dio'!G98</f>
        <v>4400</v>
      </c>
      <c r="J271" s="138"/>
      <c r="K271" s="138"/>
      <c r="L271" s="138"/>
      <c r="M271" s="138"/>
      <c r="N271" s="138"/>
      <c r="O271" s="138"/>
      <c r="P271" s="138"/>
    </row>
    <row r="272" spans="1:16" s="139" customFormat="1" x14ac:dyDescent="0.25">
      <c r="A272" s="202"/>
      <c r="B272" s="361">
        <v>32395</v>
      </c>
      <c r="C272" s="140"/>
      <c r="D272" s="360" t="s">
        <v>455</v>
      </c>
      <c r="E272" s="173">
        <f>'Rekapitulacija Posebni dio'!C99</f>
        <v>5622</v>
      </c>
      <c r="F272" s="173">
        <f>'Rekapitulacija Posebni dio'!D99</f>
        <v>6500</v>
      </c>
      <c r="G272" s="173">
        <f>'Rekapitulacija Posebni dio'!E99</f>
        <v>300</v>
      </c>
      <c r="H272" s="173">
        <f>'Rekapitulacija Posebni dio'!F99</f>
        <v>350</v>
      </c>
      <c r="I272" s="173">
        <f>'Rekapitulacija Posebni dio'!G99</f>
        <v>400</v>
      </c>
      <c r="J272" s="138"/>
      <c r="K272" s="138"/>
      <c r="L272" s="138"/>
      <c r="M272" s="138"/>
      <c r="N272" s="138"/>
      <c r="O272" s="138"/>
      <c r="P272" s="138"/>
    </row>
    <row r="273" spans="1:16" s="121" customFormat="1" x14ac:dyDescent="0.25">
      <c r="A273" s="234"/>
      <c r="B273" s="361">
        <v>32399</v>
      </c>
      <c r="C273" s="140"/>
      <c r="D273" s="360" t="s">
        <v>317</v>
      </c>
      <c r="E273" s="173">
        <f>'Rekapitulacija Posebni dio'!C100</f>
        <v>926.67</v>
      </c>
      <c r="F273" s="173">
        <f>'Rekapitulacija Posebni dio'!D100</f>
        <v>13744.810000000001</v>
      </c>
      <c r="G273" s="173">
        <f>'Rekapitulacija Posebni dio'!E100</f>
        <v>13000</v>
      </c>
      <c r="H273" s="173">
        <f>'Rekapitulacija Posebni dio'!F100</f>
        <v>13500</v>
      </c>
      <c r="I273" s="173">
        <f>'Rekapitulacija Posebni dio'!G100</f>
        <v>14000</v>
      </c>
      <c r="J273" s="120"/>
      <c r="K273" s="120"/>
      <c r="L273" s="120"/>
      <c r="M273" s="120"/>
      <c r="N273" s="120"/>
      <c r="O273" s="120"/>
      <c r="P273" s="120"/>
    </row>
    <row r="274" spans="1:16" s="121" customFormat="1" x14ac:dyDescent="0.25">
      <c r="A274" s="234"/>
      <c r="B274" s="166">
        <v>324</v>
      </c>
      <c r="C274" s="161"/>
      <c r="D274" s="168" t="s">
        <v>144</v>
      </c>
      <c r="E274" s="165">
        <f t="shared" ref="E274:I275" si="153">SUM(E275)</f>
        <v>0</v>
      </c>
      <c r="F274" s="165">
        <f t="shared" si="153"/>
        <v>398.17</v>
      </c>
      <c r="G274" s="165">
        <f t="shared" si="153"/>
        <v>400</v>
      </c>
      <c r="H274" s="165">
        <f t="shared" si="153"/>
        <v>400</v>
      </c>
      <c r="I274" s="165">
        <f t="shared" si="153"/>
        <v>400</v>
      </c>
      <c r="J274" s="120"/>
      <c r="K274" s="120"/>
      <c r="L274" s="120"/>
      <c r="M274" s="120"/>
      <c r="N274" s="120"/>
      <c r="O274" s="120"/>
      <c r="P274" s="120"/>
    </row>
    <row r="275" spans="1:16" s="121" customFormat="1" x14ac:dyDescent="0.25">
      <c r="A275" s="234"/>
      <c r="B275" s="166">
        <v>3241</v>
      </c>
      <c r="C275" s="161"/>
      <c r="D275" s="168" t="s">
        <v>144</v>
      </c>
      <c r="E275" s="165">
        <f t="shared" si="153"/>
        <v>0</v>
      </c>
      <c r="F275" s="165">
        <f t="shared" si="153"/>
        <v>398.17</v>
      </c>
      <c r="G275" s="165">
        <f t="shared" si="153"/>
        <v>400</v>
      </c>
      <c r="H275" s="165">
        <f t="shared" si="153"/>
        <v>400</v>
      </c>
      <c r="I275" s="165">
        <f t="shared" si="153"/>
        <v>400</v>
      </c>
      <c r="J275" s="120"/>
      <c r="K275" s="120"/>
      <c r="L275" s="120"/>
      <c r="M275" s="120"/>
      <c r="N275" s="120"/>
      <c r="O275" s="120"/>
      <c r="P275" s="120"/>
    </row>
    <row r="276" spans="1:16" s="121" customFormat="1" x14ac:dyDescent="0.25">
      <c r="A276" s="234"/>
      <c r="B276" s="170" t="s">
        <v>520</v>
      </c>
      <c r="C276" s="161"/>
      <c r="D276" s="171" t="s">
        <v>465</v>
      </c>
      <c r="E276" s="173">
        <f>'Rekapitulacija Posebni dio'!C103</f>
        <v>0</v>
      </c>
      <c r="F276" s="173">
        <f>'Rekapitulacija Posebni dio'!D103</f>
        <v>398.17</v>
      </c>
      <c r="G276" s="173">
        <f>'Rekapitulacija Posebni dio'!E103</f>
        <v>400</v>
      </c>
      <c r="H276" s="173">
        <f>'Rekapitulacija Posebni dio'!F103</f>
        <v>400</v>
      </c>
      <c r="I276" s="173">
        <f>'Rekapitulacija Posebni dio'!G103</f>
        <v>400</v>
      </c>
      <c r="J276" s="120"/>
      <c r="K276" s="120"/>
      <c r="L276" s="120"/>
      <c r="M276" s="120"/>
      <c r="N276" s="120"/>
      <c r="O276" s="120"/>
      <c r="P276" s="120"/>
    </row>
    <row r="277" spans="1:16" s="139" customFormat="1" x14ac:dyDescent="0.25">
      <c r="A277" s="202"/>
      <c r="B277" s="166" t="s">
        <v>594</v>
      </c>
      <c r="C277" s="161"/>
      <c r="D277" s="168" t="s">
        <v>128</v>
      </c>
      <c r="E277" s="165">
        <f>E278</f>
        <v>0</v>
      </c>
      <c r="F277" s="165">
        <f t="shared" ref="F277:I277" si="154">F278</f>
        <v>40000</v>
      </c>
      <c r="G277" s="165">
        <f t="shared" si="154"/>
        <v>270000</v>
      </c>
      <c r="H277" s="165">
        <f t="shared" si="154"/>
        <v>298000</v>
      </c>
      <c r="I277" s="165">
        <f t="shared" si="154"/>
        <v>326000</v>
      </c>
      <c r="J277" s="138"/>
      <c r="K277" s="138"/>
      <c r="L277" s="138"/>
      <c r="M277" s="138"/>
      <c r="N277" s="138"/>
      <c r="O277" s="138"/>
      <c r="P277" s="138"/>
    </row>
    <row r="278" spans="1:16" s="139" customFormat="1" x14ac:dyDescent="0.25">
      <c r="A278" s="202"/>
      <c r="B278" s="166" t="s">
        <v>595</v>
      </c>
      <c r="C278" s="161"/>
      <c r="D278" s="168" t="s">
        <v>143</v>
      </c>
      <c r="E278" s="165">
        <f>E279+E280</f>
        <v>0</v>
      </c>
      <c r="F278" s="165">
        <f t="shared" ref="F278:I278" si="155">F279+F280</f>
        <v>40000</v>
      </c>
      <c r="G278" s="165">
        <f t="shared" si="155"/>
        <v>270000</v>
      </c>
      <c r="H278" s="165">
        <f t="shared" si="155"/>
        <v>298000</v>
      </c>
      <c r="I278" s="165">
        <f t="shared" si="155"/>
        <v>326000</v>
      </c>
      <c r="J278" s="138"/>
      <c r="K278" s="138"/>
      <c r="L278" s="138"/>
      <c r="M278" s="138"/>
      <c r="N278" s="138"/>
      <c r="O278" s="138"/>
      <c r="P278" s="138"/>
    </row>
    <row r="279" spans="1:16" s="121" customFormat="1" x14ac:dyDescent="0.25">
      <c r="A279" s="234"/>
      <c r="B279" s="170" t="s">
        <v>596</v>
      </c>
      <c r="C279" s="161"/>
      <c r="D279" s="171" t="s">
        <v>598</v>
      </c>
      <c r="E279" s="173">
        <f>'Rekapitulacija Posebni dio'!C106</f>
        <v>0</v>
      </c>
      <c r="F279" s="173">
        <f>'Rekapitulacija Posebni dio'!D106</f>
        <v>5000</v>
      </c>
      <c r="G279" s="173">
        <f>'Rekapitulacija Posebni dio'!E106</f>
        <v>20000</v>
      </c>
      <c r="H279" s="173">
        <f>'Rekapitulacija Posebni dio'!F106</f>
        <v>23000</v>
      </c>
      <c r="I279" s="173">
        <f>'Rekapitulacija Posebni dio'!G106</f>
        <v>26000</v>
      </c>
      <c r="J279" s="120"/>
      <c r="K279" s="120"/>
      <c r="L279" s="120"/>
      <c r="M279" s="120"/>
      <c r="N279" s="120"/>
      <c r="O279" s="120"/>
      <c r="P279" s="120"/>
    </row>
    <row r="280" spans="1:16" s="121" customFormat="1" x14ac:dyDescent="0.25">
      <c r="A280" s="234"/>
      <c r="B280" s="170" t="s">
        <v>597</v>
      </c>
      <c r="C280" s="161"/>
      <c r="D280" s="171" t="s">
        <v>599</v>
      </c>
      <c r="E280" s="173">
        <f>'Rekapitulacija Posebni dio'!C107</f>
        <v>0</v>
      </c>
      <c r="F280" s="173">
        <f>'Rekapitulacija Posebni dio'!D107</f>
        <v>35000</v>
      </c>
      <c r="G280" s="173">
        <f>'Rekapitulacija Posebni dio'!E107</f>
        <v>250000</v>
      </c>
      <c r="H280" s="173">
        <f>'Rekapitulacija Posebni dio'!F107</f>
        <v>275000</v>
      </c>
      <c r="I280" s="173">
        <f>'Rekapitulacija Posebni dio'!G107</f>
        <v>300000</v>
      </c>
      <c r="J280" s="120"/>
      <c r="K280" s="120"/>
      <c r="L280" s="120"/>
      <c r="M280" s="120"/>
      <c r="N280" s="120"/>
      <c r="O280" s="120"/>
      <c r="P280" s="120"/>
    </row>
    <row r="281" spans="1:16" s="121" customFormat="1" x14ac:dyDescent="0.25">
      <c r="A281" s="234"/>
      <c r="B281" s="184">
        <v>329</v>
      </c>
      <c r="C281" s="161"/>
      <c r="D281" s="248" t="s">
        <v>145</v>
      </c>
      <c r="E281" s="165">
        <f t="shared" ref="E281" si="156">E282+E284+E288+E290+E292+E296+E298</f>
        <v>34956.639999999999</v>
      </c>
      <c r="F281" s="165">
        <f t="shared" ref="F281:I281" si="157">F282+F284+F288+F290+F292+F296+F298</f>
        <v>51775.64</v>
      </c>
      <c r="G281" s="165">
        <f t="shared" si="157"/>
        <v>42300</v>
      </c>
      <c r="H281" s="165">
        <f t="shared" si="157"/>
        <v>43750</v>
      </c>
      <c r="I281" s="165">
        <f t="shared" si="157"/>
        <v>45200</v>
      </c>
      <c r="J281" s="120"/>
      <c r="K281" s="120"/>
      <c r="L281" s="120"/>
      <c r="M281" s="120"/>
      <c r="N281" s="120"/>
      <c r="O281" s="120"/>
      <c r="P281" s="120"/>
    </row>
    <row r="282" spans="1:16" s="121" customFormat="1" ht="31.5" x14ac:dyDescent="0.25">
      <c r="A282" s="234"/>
      <c r="B282" s="184" t="s">
        <v>146</v>
      </c>
      <c r="C282" s="161"/>
      <c r="D282" s="168" t="s">
        <v>563</v>
      </c>
      <c r="E282" s="165">
        <f t="shared" ref="E282:I282" si="158">SUM(E283)</f>
        <v>8798.64</v>
      </c>
      <c r="F282" s="165">
        <f t="shared" si="158"/>
        <v>11613.25</v>
      </c>
      <c r="G282" s="165">
        <f t="shared" si="158"/>
        <v>9500</v>
      </c>
      <c r="H282" s="165">
        <f t="shared" si="158"/>
        <v>9750</v>
      </c>
      <c r="I282" s="165">
        <f t="shared" si="158"/>
        <v>10000</v>
      </c>
      <c r="J282" s="120"/>
      <c r="K282" s="120"/>
      <c r="L282" s="120"/>
      <c r="M282" s="120"/>
      <c r="N282" s="120"/>
      <c r="O282" s="120"/>
      <c r="P282" s="120"/>
    </row>
    <row r="283" spans="1:16" s="121" customFormat="1" ht="14.25" customHeight="1" x14ac:dyDescent="0.25">
      <c r="A283" s="234"/>
      <c r="B283" s="187">
        <v>32911</v>
      </c>
      <c r="C283" s="140"/>
      <c r="D283" s="171" t="s">
        <v>147</v>
      </c>
      <c r="E283" s="173">
        <f>'Rekapitulacija Posebni dio'!C110</f>
        <v>8798.64</v>
      </c>
      <c r="F283" s="173">
        <f>'Rekapitulacija Posebni dio'!D110</f>
        <v>11613.25</v>
      </c>
      <c r="G283" s="173">
        <f>'Rekapitulacija Posebni dio'!E110</f>
        <v>9500</v>
      </c>
      <c r="H283" s="173">
        <f>'Rekapitulacija Posebni dio'!F110</f>
        <v>9750</v>
      </c>
      <c r="I283" s="173">
        <f>'Rekapitulacija Posebni dio'!G110</f>
        <v>10000</v>
      </c>
      <c r="J283" s="120"/>
      <c r="K283" s="120"/>
      <c r="L283" s="120"/>
      <c r="M283" s="120"/>
      <c r="N283" s="120"/>
      <c r="O283" s="120"/>
      <c r="P283" s="120"/>
    </row>
    <row r="284" spans="1:16" s="121" customFormat="1" x14ac:dyDescent="0.25">
      <c r="A284" s="234"/>
      <c r="B284" s="184">
        <v>3292</v>
      </c>
      <c r="C284" s="161"/>
      <c r="D284" s="248" t="s">
        <v>148</v>
      </c>
      <c r="E284" s="165">
        <f t="shared" ref="E284" si="159">SUM(E285:E287)</f>
        <v>14370.47</v>
      </c>
      <c r="F284" s="165">
        <f t="shared" ref="F284:I284" si="160">SUM(F285:F287)</f>
        <v>21235.65</v>
      </c>
      <c r="G284" s="165">
        <f t="shared" si="160"/>
        <v>15000</v>
      </c>
      <c r="H284" s="165">
        <f t="shared" si="160"/>
        <v>15450</v>
      </c>
      <c r="I284" s="165">
        <f t="shared" si="160"/>
        <v>15900</v>
      </c>
      <c r="J284" s="120"/>
      <c r="K284" s="120"/>
      <c r="L284" s="120"/>
      <c r="M284" s="120"/>
      <c r="N284" s="120"/>
      <c r="O284" s="120"/>
      <c r="P284" s="120"/>
    </row>
    <row r="285" spans="1:16" s="121" customFormat="1" x14ac:dyDescent="0.25">
      <c r="A285" s="234"/>
      <c r="B285" s="187">
        <v>32921</v>
      </c>
      <c r="C285" s="161"/>
      <c r="D285" s="360" t="s">
        <v>459</v>
      </c>
      <c r="E285" s="165">
        <f>'Rekapitulacija Posebni dio'!C112</f>
        <v>3470.45</v>
      </c>
      <c r="F285" s="165">
        <f>'Rekapitulacija Posebni dio'!D112</f>
        <v>10250</v>
      </c>
      <c r="G285" s="165">
        <f>'Rekapitulacija Posebni dio'!E112</f>
        <v>4000</v>
      </c>
      <c r="H285" s="165">
        <f>'Rekapitulacija Posebni dio'!F112</f>
        <v>4200</v>
      </c>
      <c r="I285" s="165">
        <f>'Rekapitulacija Posebni dio'!G112</f>
        <v>4400</v>
      </c>
      <c r="J285" s="120"/>
      <c r="K285" s="120"/>
      <c r="L285" s="120"/>
      <c r="M285" s="120"/>
      <c r="N285" s="120"/>
      <c r="O285" s="120"/>
      <c r="P285" s="120"/>
    </row>
    <row r="286" spans="1:16" s="121" customFormat="1" x14ac:dyDescent="0.25">
      <c r="A286" s="234"/>
      <c r="B286" s="187">
        <v>32922</v>
      </c>
      <c r="C286" s="161"/>
      <c r="D286" s="360" t="s">
        <v>458</v>
      </c>
      <c r="E286" s="165">
        <f>'Rekapitulacija Posebni dio'!C113</f>
        <v>2766.74</v>
      </c>
      <c r="F286" s="165">
        <f>'Rekapitulacija Posebni dio'!D113</f>
        <v>2100</v>
      </c>
      <c r="G286" s="165">
        <f>'Rekapitulacija Posebni dio'!E113</f>
        <v>2800</v>
      </c>
      <c r="H286" s="165">
        <f>'Rekapitulacija Posebni dio'!F113</f>
        <v>2900</v>
      </c>
      <c r="I286" s="165">
        <f>'Rekapitulacija Posebni dio'!G113</f>
        <v>3000</v>
      </c>
      <c r="J286" s="120"/>
      <c r="K286" s="120"/>
      <c r="L286" s="120"/>
      <c r="M286" s="120"/>
      <c r="N286" s="120"/>
      <c r="O286" s="120"/>
      <c r="P286" s="120"/>
    </row>
    <row r="287" spans="1:16" s="121" customFormat="1" x14ac:dyDescent="0.25">
      <c r="A287" s="234"/>
      <c r="B287" s="187">
        <v>32923</v>
      </c>
      <c r="C287" s="140"/>
      <c r="D287" s="360" t="s">
        <v>456</v>
      </c>
      <c r="E287" s="173">
        <f>'Rekapitulacija Posebni dio'!C114</f>
        <v>8133.28</v>
      </c>
      <c r="F287" s="173">
        <f>'Rekapitulacija Posebni dio'!D114</f>
        <v>8885.6500000000015</v>
      </c>
      <c r="G287" s="173">
        <f>'Rekapitulacija Posebni dio'!E114</f>
        <v>8200</v>
      </c>
      <c r="H287" s="173">
        <f>'Rekapitulacija Posebni dio'!F114</f>
        <v>8350</v>
      </c>
      <c r="I287" s="173">
        <f>'Rekapitulacija Posebni dio'!G114</f>
        <v>8500</v>
      </c>
      <c r="J287" s="120"/>
      <c r="K287" s="120"/>
      <c r="L287" s="120"/>
      <c r="M287" s="120"/>
      <c r="N287" s="120"/>
      <c r="O287" s="120"/>
      <c r="P287" s="120"/>
    </row>
    <row r="288" spans="1:16" s="121" customFormat="1" x14ac:dyDescent="0.25">
      <c r="A288" s="234"/>
      <c r="B288" s="184">
        <v>3293</v>
      </c>
      <c r="C288" s="161"/>
      <c r="D288" s="248" t="s">
        <v>149</v>
      </c>
      <c r="E288" s="165">
        <f t="shared" ref="E288:I288" si="161">SUM(E289)</f>
        <v>2857.91</v>
      </c>
      <c r="F288" s="165">
        <f t="shared" si="161"/>
        <v>3318.07</v>
      </c>
      <c r="G288" s="165">
        <f t="shared" si="161"/>
        <v>3350</v>
      </c>
      <c r="H288" s="165">
        <f t="shared" si="161"/>
        <v>3500</v>
      </c>
      <c r="I288" s="165">
        <f t="shared" si="161"/>
        <v>3650</v>
      </c>
      <c r="J288" s="120"/>
      <c r="K288" s="120"/>
      <c r="L288" s="120"/>
      <c r="M288" s="120"/>
      <c r="N288" s="120"/>
      <c r="O288" s="120"/>
      <c r="P288" s="120"/>
    </row>
    <row r="289" spans="1:16" s="121" customFormat="1" x14ac:dyDescent="0.25">
      <c r="A289" s="234"/>
      <c r="B289" s="187">
        <v>32931</v>
      </c>
      <c r="C289" s="140"/>
      <c r="D289" s="247" t="s">
        <v>149</v>
      </c>
      <c r="E289" s="173">
        <f>'Rekapitulacija Posebni dio'!C116</f>
        <v>2857.91</v>
      </c>
      <c r="F289" s="173">
        <f>'Rekapitulacija Posebni dio'!D116</f>
        <v>3318.07</v>
      </c>
      <c r="G289" s="173">
        <f>'Rekapitulacija Posebni dio'!E116</f>
        <v>3350</v>
      </c>
      <c r="H289" s="173">
        <f>'Rekapitulacija Posebni dio'!F116</f>
        <v>3500</v>
      </c>
      <c r="I289" s="173">
        <f>'Rekapitulacija Posebni dio'!G116</f>
        <v>3650</v>
      </c>
      <c r="J289" s="120"/>
      <c r="K289" s="120"/>
      <c r="L289" s="120"/>
      <c r="M289" s="120"/>
      <c r="N289" s="120"/>
      <c r="O289" s="120"/>
      <c r="P289" s="120"/>
    </row>
    <row r="290" spans="1:16" s="121" customFormat="1" x14ac:dyDescent="0.25">
      <c r="A290" s="234"/>
      <c r="B290" s="184">
        <v>3294</v>
      </c>
      <c r="C290" s="161"/>
      <c r="D290" s="248" t="s">
        <v>150</v>
      </c>
      <c r="E290" s="165">
        <f t="shared" ref="E290:I290" si="162">SUM(E291)</f>
        <v>2587.89</v>
      </c>
      <c r="F290" s="165">
        <f t="shared" si="162"/>
        <v>1990.84</v>
      </c>
      <c r="G290" s="165">
        <f t="shared" si="162"/>
        <v>2750</v>
      </c>
      <c r="H290" s="165">
        <f t="shared" si="162"/>
        <v>2850</v>
      </c>
      <c r="I290" s="165">
        <f t="shared" si="162"/>
        <v>2950</v>
      </c>
      <c r="J290" s="120"/>
      <c r="K290" s="120"/>
      <c r="L290" s="120"/>
      <c r="M290" s="120"/>
      <c r="N290" s="120"/>
      <c r="O290" s="120"/>
      <c r="P290" s="120"/>
    </row>
    <row r="291" spans="1:16" s="121" customFormat="1" x14ac:dyDescent="0.25">
      <c r="A291" s="234"/>
      <c r="B291" s="187">
        <v>32941</v>
      </c>
      <c r="C291" s="140"/>
      <c r="D291" s="247" t="s">
        <v>558</v>
      </c>
      <c r="E291" s="173">
        <f>'Rekapitulacija Posebni dio'!C118</f>
        <v>2587.89</v>
      </c>
      <c r="F291" s="173">
        <f>'Rekapitulacija Posebni dio'!D118</f>
        <v>1990.84</v>
      </c>
      <c r="G291" s="173">
        <f>'Rekapitulacija Posebni dio'!E118</f>
        <v>2750</v>
      </c>
      <c r="H291" s="173">
        <f>'Rekapitulacija Posebni dio'!F118</f>
        <v>2850</v>
      </c>
      <c r="I291" s="173">
        <f>'Rekapitulacija Posebni dio'!G118</f>
        <v>2950</v>
      </c>
      <c r="J291" s="120"/>
      <c r="K291" s="120"/>
      <c r="L291" s="120"/>
      <c r="M291" s="120"/>
      <c r="N291" s="120"/>
      <c r="O291" s="120"/>
      <c r="P291" s="120"/>
    </row>
    <row r="292" spans="1:16" s="121" customFormat="1" x14ac:dyDescent="0.25">
      <c r="A292" s="234"/>
      <c r="B292" s="179">
        <v>3295</v>
      </c>
      <c r="C292" s="161"/>
      <c r="D292" s="252" t="s">
        <v>151</v>
      </c>
      <c r="E292" s="165">
        <f t="shared" ref="E292" si="163">SUM(E293:E295)</f>
        <v>292.14</v>
      </c>
      <c r="F292" s="165">
        <f t="shared" ref="F292:I292" si="164">SUM(F293:F295)</f>
        <v>2654.46</v>
      </c>
      <c r="G292" s="165">
        <f t="shared" si="164"/>
        <v>2000</v>
      </c>
      <c r="H292" s="165">
        <f t="shared" si="164"/>
        <v>2200</v>
      </c>
      <c r="I292" s="165">
        <f t="shared" si="164"/>
        <v>2400</v>
      </c>
      <c r="J292" s="120"/>
      <c r="K292" s="120"/>
      <c r="L292" s="120"/>
      <c r="M292" s="120"/>
      <c r="N292" s="120"/>
      <c r="O292" s="120"/>
      <c r="P292" s="120"/>
    </row>
    <row r="293" spans="1:16" s="121" customFormat="1" x14ac:dyDescent="0.25">
      <c r="A293" s="234"/>
      <c r="B293" s="187">
        <v>32952</v>
      </c>
      <c r="C293" s="140"/>
      <c r="D293" s="362" t="s">
        <v>462</v>
      </c>
      <c r="E293" s="173">
        <f>'Rekapitulacija Posebni dio'!C120</f>
        <v>262.14</v>
      </c>
      <c r="F293" s="173">
        <f>'Rekapitulacija Posebni dio'!D120</f>
        <v>800</v>
      </c>
      <c r="G293" s="173">
        <f>'Rekapitulacija Posebni dio'!E120</f>
        <v>800</v>
      </c>
      <c r="H293" s="173">
        <f>'Rekapitulacija Posebni dio'!F120</f>
        <v>800</v>
      </c>
      <c r="I293" s="173">
        <f>'Rekapitulacija Posebni dio'!G120</f>
        <v>800</v>
      </c>
      <c r="J293" s="120"/>
      <c r="K293" s="120"/>
      <c r="L293" s="120"/>
      <c r="M293" s="120"/>
      <c r="N293" s="120"/>
      <c r="O293" s="120"/>
      <c r="P293" s="120"/>
    </row>
    <row r="294" spans="1:16" s="121" customFormat="1" x14ac:dyDescent="0.25">
      <c r="A294" s="234"/>
      <c r="B294" s="187">
        <v>32953</v>
      </c>
      <c r="C294" s="140"/>
      <c r="D294" s="362" t="s">
        <v>463</v>
      </c>
      <c r="E294" s="173">
        <f>'Rekapitulacija Posebni dio'!C121</f>
        <v>30</v>
      </c>
      <c r="F294" s="173">
        <f>'Rekapitulacija Posebni dio'!D121</f>
        <v>1450</v>
      </c>
      <c r="G294" s="173">
        <f>'Rekapitulacija Posebni dio'!E121</f>
        <v>750</v>
      </c>
      <c r="H294" s="173">
        <f>'Rekapitulacija Posebni dio'!F121</f>
        <v>900</v>
      </c>
      <c r="I294" s="173">
        <f>'Rekapitulacija Posebni dio'!G121</f>
        <v>1050</v>
      </c>
      <c r="J294" s="120"/>
      <c r="K294" s="120"/>
      <c r="L294" s="120"/>
      <c r="M294" s="120"/>
      <c r="N294" s="120"/>
      <c r="O294" s="120"/>
      <c r="P294" s="120"/>
    </row>
    <row r="295" spans="1:16" s="121" customFormat="1" x14ac:dyDescent="0.25">
      <c r="A295" s="234"/>
      <c r="B295" s="194">
        <v>32959</v>
      </c>
      <c r="C295" s="140"/>
      <c r="D295" s="362" t="s">
        <v>461</v>
      </c>
      <c r="E295" s="173">
        <f>'Rekapitulacija Posebni dio'!C122</f>
        <v>0</v>
      </c>
      <c r="F295" s="173">
        <f>'Rekapitulacija Posebni dio'!D122</f>
        <v>404.46000000000004</v>
      </c>
      <c r="G295" s="173">
        <f>'Rekapitulacija Posebni dio'!E122</f>
        <v>450</v>
      </c>
      <c r="H295" s="173">
        <f>'Rekapitulacija Posebni dio'!F122</f>
        <v>500</v>
      </c>
      <c r="I295" s="173">
        <f>'Rekapitulacija Posebni dio'!G122</f>
        <v>550</v>
      </c>
      <c r="J295" s="120"/>
      <c r="K295" s="120"/>
      <c r="L295" s="120"/>
      <c r="M295" s="120"/>
      <c r="N295" s="120"/>
      <c r="O295" s="120"/>
      <c r="P295" s="120"/>
    </row>
    <row r="296" spans="1:16" s="121" customFormat="1" x14ac:dyDescent="0.25">
      <c r="A296" s="234"/>
      <c r="B296" s="179">
        <v>3296</v>
      </c>
      <c r="C296" s="161"/>
      <c r="D296" s="252" t="s">
        <v>152</v>
      </c>
      <c r="E296" s="165">
        <f t="shared" ref="E296:I296" si="165">SUM(E297)</f>
        <v>705</v>
      </c>
      <c r="F296" s="165">
        <f t="shared" si="165"/>
        <v>4990.84</v>
      </c>
      <c r="G296" s="165">
        <f t="shared" si="165"/>
        <v>4000</v>
      </c>
      <c r="H296" s="165">
        <f t="shared" si="165"/>
        <v>4100</v>
      </c>
      <c r="I296" s="165">
        <f t="shared" si="165"/>
        <v>4200</v>
      </c>
      <c r="J296" s="120"/>
      <c r="K296" s="120"/>
      <c r="L296" s="120"/>
      <c r="M296" s="120"/>
      <c r="N296" s="120"/>
      <c r="O296" s="120"/>
      <c r="P296" s="120"/>
    </row>
    <row r="297" spans="1:16" s="121" customFormat="1" x14ac:dyDescent="0.25">
      <c r="A297" s="234"/>
      <c r="B297" s="194">
        <v>32961</v>
      </c>
      <c r="C297" s="140"/>
      <c r="D297" s="249" t="s">
        <v>152</v>
      </c>
      <c r="E297" s="173">
        <f>'Rekapitulacija Posebni dio'!C124</f>
        <v>705</v>
      </c>
      <c r="F297" s="173">
        <f>'Rekapitulacija Posebni dio'!D124</f>
        <v>4990.84</v>
      </c>
      <c r="G297" s="173">
        <f>'Rekapitulacija Posebni dio'!E124</f>
        <v>4000</v>
      </c>
      <c r="H297" s="173">
        <f>'Rekapitulacija Posebni dio'!F124</f>
        <v>4100</v>
      </c>
      <c r="I297" s="173">
        <f>'Rekapitulacija Posebni dio'!G124</f>
        <v>4200</v>
      </c>
      <c r="J297" s="120"/>
      <c r="K297" s="120"/>
      <c r="L297" s="120"/>
      <c r="M297" s="120"/>
      <c r="N297" s="120"/>
      <c r="O297" s="120"/>
      <c r="P297" s="120"/>
    </row>
    <row r="298" spans="1:16" s="121" customFormat="1" x14ac:dyDescent="0.25">
      <c r="A298" s="234"/>
      <c r="B298" s="179" t="s">
        <v>153</v>
      </c>
      <c r="C298" s="161"/>
      <c r="D298" s="252" t="s">
        <v>145</v>
      </c>
      <c r="E298" s="165">
        <f t="shared" ref="E298" si="166">SUM(E299:E300)</f>
        <v>5344.59</v>
      </c>
      <c r="F298" s="165">
        <f t="shared" ref="F298:I298" si="167">SUM(F299:F300)</f>
        <v>5972.53</v>
      </c>
      <c r="G298" s="165">
        <f t="shared" si="167"/>
        <v>5700</v>
      </c>
      <c r="H298" s="165">
        <f t="shared" si="167"/>
        <v>5900</v>
      </c>
      <c r="I298" s="165">
        <f t="shared" si="167"/>
        <v>6100</v>
      </c>
      <c r="J298" s="120"/>
      <c r="K298" s="120"/>
      <c r="L298" s="120"/>
      <c r="M298" s="120"/>
      <c r="N298" s="120"/>
      <c r="O298" s="120"/>
      <c r="P298" s="120"/>
    </row>
    <row r="299" spans="1:16" s="121" customFormat="1" x14ac:dyDescent="0.25">
      <c r="A299" s="234"/>
      <c r="B299" s="194">
        <v>32991</v>
      </c>
      <c r="C299" s="140"/>
      <c r="D299" s="362" t="s">
        <v>464</v>
      </c>
      <c r="E299" s="173">
        <f>'Rekapitulacija Posebni dio'!C126</f>
        <v>50</v>
      </c>
      <c r="F299" s="173">
        <f>'Rekapitulacija Posebni dio'!D126</f>
        <v>200</v>
      </c>
      <c r="G299" s="173">
        <f>'Rekapitulacija Posebni dio'!E126</f>
        <v>200</v>
      </c>
      <c r="H299" s="173">
        <f>'Rekapitulacija Posebni dio'!F126</f>
        <v>200</v>
      </c>
      <c r="I299" s="173">
        <f>'Rekapitulacija Posebni dio'!G126</f>
        <v>200</v>
      </c>
      <c r="J299" s="120"/>
      <c r="K299" s="120"/>
      <c r="L299" s="120"/>
      <c r="M299" s="120"/>
      <c r="N299" s="120"/>
      <c r="O299" s="120"/>
      <c r="P299" s="120"/>
    </row>
    <row r="300" spans="1:16" s="121" customFormat="1" x14ac:dyDescent="0.25">
      <c r="A300" s="234"/>
      <c r="B300" s="194">
        <v>32999</v>
      </c>
      <c r="C300" s="140"/>
      <c r="D300" s="362" t="s">
        <v>145</v>
      </c>
      <c r="E300" s="173">
        <f>'Rekapitulacija Posebni dio'!C127</f>
        <v>5294.59</v>
      </c>
      <c r="F300" s="173">
        <f>'Rekapitulacija Posebni dio'!D127</f>
        <v>5772.53</v>
      </c>
      <c r="G300" s="173">
        <f>'Rekapitulacija Posebni dio'!E127</f>
        <v>5500</v>
      </c>
      <c r="H300" s="173">
        <f>'Rekapitulacija Posebni dio'!F127</f>
        <v>5700</v>
      </c>
      <c r="I300" s="173">
        <f>'Rekapitulacija Posebni dio'!G127</f>
        <v>5900</v>
      </c>
      <c r="J300" s="120"/>
      <c r="K300" s="120"/>
      <c r="L300" s="120"/>
      <c r="M300" s="120"/>
      <c r="N300" s="120"/>
      <c r="O300" s="120"/>
      <c r="P300" s="120"/>
    </row>
    <row r="301" spans="1:16" s="121" customFormat="1" x14ac:dyDescent="0.25">
      <c r="A301" s="234"/>
      <c r="B301" s="141">
        <v>34</v>
      </c>
      <c r="C301" s="215"/>
      <c r="D301" s="233" t="s">
        <v>154</v>
      </c>
      <c r="E301" s="178">
        <f t="shared" ref="E301:I301" si="168">SUM(E302)</f>
        <v>5895.57</v>
      </c>
      <c r="F301" s="178">
        <f t="shared" si="168"/>
        <v>9972.52</v>
      </c>
      <c r="G301" s="178">
        <f t="shared" si="168"/>
        <v>7475</v>
      </c>
      <c r="H301" s="178">
        <f t="shared" si="168"/>
        <v>7770</v>
      </c>
      <c r="I301" s="178">
        <f t="shared" si="168"/>
        <v>8065</v>
      </c>
      <c r="J301" s="120"/>
      <c r="K301" s="120"/>
      <c r="L301" s="120"/>
      <c r="M301" s="120"/>
      <c r="N301" s="120"/>
      <c r="O301" s="120"/>
      <c r="P301" s="120"/>
    </row>
    <row r="302" spans="1:16" s="121" customFormat="1" x14ac:dyDescent="0.25">
      <c r="A302" s="234"/>
      <c r="B302" s="184">
        <v>343</v>
      </c>
      <c r="C302" s="161"/>
      <c r="D302" s="248" t="s">
        <v>155</v>
      </c>
      <c r="E302" s="165">
        <f>E303+E305+E310</f>
        <v>5895.57</v>
      </c>
      <c r="F302" s="165">
        <f t="shared" ref="F302:I302" si="169">F303+F305+F310</f>
        <v>9972.52</v>
      </c>
      <c r="G302" s="165">
        <f t="shared" si="169"/>
        <v>7475</v>
      </c>
      <c r="H302" s="165">
        <f t="shared" si="169"/>
        <v>7770</v>
      </c>
      <c r="I302" s="165">
        <f t="shared" si="169"/>
        <v>8065</v>
      </c>
      <c r="J302" s="120"/>
      <c r="K302" s="120"/>
      <c r="L302" s="120"/>
      <c r="M302" s="120"/>
      <c r="N302" s="120"/>
      <c r="O302" s="120"/>
      <c r="P302" s="120"/>
    </row>
    <row r="303" spans="1:16" s="121" customFormat="1" x14ac:dyDescent="0.25">
      <c r="A303" s="234"/>
      <c r="B303" s="184" t="s">
        <v>156</v>
      </c>
      <c r="C303" s="161"/>
      <c r="D303" s="248" t="s">
        <v>157</v>
      </c>
      <c r="E303" s="165">
        <f t="shared" ref="E303:I303" si="170">SUM(E304)</f>
        <v>4177.24</v>
      </c>
      <c r="F303" s="165">
        <f t="shared" si="170"/>
        <v>5308.91</v>
      </c>
      <c r="G303" s="165">
        <f t="shared" si="170"/>
        <v>6000</v>
      </c>
      <c r="H303" s="165">
        <f t="shared" si="170"/>
        <v>6250</v>
      </c>
      <c r="I303" s="165">
        <f t="shared" si="170"/>
        <v>6500</v>
      </c>
      <c r="J303" s="120"/>
      <c r="K303" s="120"/>
      <c r="L303" s="120"/>
      <c r="M303" s="120"/>
      <c r="N303" s="120"/>
      <c r="O303" s="120"/>
      <c r="P303" s="120"/>
    </row>
    <row r="304" spans="1:16" s="121" customFormat="1" x14ac:dyDescent="0.25">
      <c r="A304" s="234"/>
      <c r="B304" s="187">
        <v>34312</v>
      </c>
      <c r="C304" s="140"/>
      <c r="D304" s="247" t="s">
        <v>157</v>
      </c>
      <c r="E304" s="173">
        <f>'Rekapitulacija Posebni dio'!C131</f>
        <v>4177.24</v>
      </c>
      <c r="F304" s="173">
        <f>'Rekapitulacija Posebni dio'!D131</f>
        <v>5308.91</v>
      </c>
      <c r="G304" s="173">
        <f>'Rekapitulacija Posebni dio'!E131</f>
        <v>6000</v>
      </c>
      <c r="H304" s="173">
        <f>'Rekapitulacija Posebni dio'!F131</f>
        <v>6250</v>
      </c>
      <c r="I304" s="173">
        <f>'Rekapitulacija Posebni dio'!G131</f>
        <v>6500</v>
      </c>
      <c r="J304" s="120"/>
      <c r="K304" s="120"/>
      <c r="L304" s="120"/>
      <c r="M304" s="120"/>
      <c r="N304" s="120"/>
      <c r="O304" s="120"/>
      <c r="P304" s="120"/>
    </row>
    <row r="305" spans="1:16" s="121" customFormat="1" x14ac:dyDescent="0.25">
      <c r="A305" s="234"/>
      <c r="B305" s="179">
        <v>3433</v>
      </c>
      <c r="C305" s="161"/>
      <c r="D305" s="252" t="s">
        <v>158</v>
      </c>
      <c r="E305" s="165">
        <f t="shared" ref="E305" si="171">SUM(E306:E309)</f>
        <v>1375.53</v>
      </c>
      <c r="F305" s="165">
        <f t="shared" ref="F305:I305" si="172">SUM(F306:F309)</f>
        <v>4663.6099999999997</v>
      </c>
      <c r="G305" s="165">
        <f t="shared" si="172"/>
        <v>1475</v>
      </c>
      <c r="H305" s="165">
        <f t="shared" si="172"/>
        <v>1520</v>
      </c>
      <c r="I305" s="165">
        <f t="shared" si="172"/>
        <v>1565</v>
      </c>
      <c r="J305" s="120"/>
      <c r="K305" s="120"/>
      <c r="L305" s="120"/>
      <c r="M305" s="120"/>
      <c r="N305" s="120"/>
      <c r="O305" s="120"/>
      <c r="P305" s="120"/>
    </row>
    <row r="306" spans="1:16" s="121" customFormat="1" x14ac:dyDescent="0.25">
      <c r="A306" s="234"/>
      <c r="B306" s="361">
        <v>34331</v>
      </c>
      <c r="C306" s="140"/>
      <c r="D306" s="360" t="s">
        <v>467</v>
      </c>
      <c r="E306" s="173">
        <f>'Rekapitulacija Posebni dio'!C134</f>
        <v>11.9</v>
      </c>
      <c r="F306" s="173">
        <f>'Rekapitulacija Posebni dio'!D134</f>
        <v>100</v>
      </c>
      <c r="G306" s="173">
        <f>'Rekapitulacija Posebni dio'!E134</f>
        <v>25</v>
      </c>
      <c r="H306" s="173">
        <f>'Rekapitulacija Posebni dio'!F134</f>
        <v>30</v>
      </c>
      <c r="I306" s="173">
        <f>'Rekapitulacija Posebni dio'!G134</f>
        <v>35</v>
      </c>
      <c r="J306" s="120"/>
      <c r="K306" s="120"/>
      <c r="L306" s="120"/>
      <c r="M306" s="120"/>
      <c r="N306" s="120"/>
      <c r="O306" s="120"/>
      <c r="P306" s="120"/>
    </row>
    <row r="307" spans="1:16" s="121" customFormat="1" x14ac:dyDescent="0.25">
      <c r="A307" s="234"/>
      <c r="B307" s="361">
        <v>34332</v>
      </c>
      <c r="C307" s="140"/>
      <c r="D307" s="360" t="s">
        <v>468</v>
      </c>
      <c r="E307" s="173">
        <f>'Rekapitulacija Posebni dio'!C135</f>
        <v>315.98</v>
      </c>
      <c r="F307" s="173">
        <f>'Rekapitulacija Posebni dio'!D135</f>
        <v>550</v>
      </c>
      <c r="G307" s="173">
        <f>'Rekapitulacija Posebni dio'!E135</f>
        <v>350</v>
      </c>
      <c r="H307" s="173">
        <f>'Rekapitulacija Posebni dio'!F135</f>
        <v>350</v>
      </c>
      <c r="I307" s="173">
        <f>'Rekapitulacija Posebni dio'!G135</f>
        <v>350</v>
      </c>
      <c r="J307" s="120"/>
      <c r="K307" s="120"/>
      <c r="L307" s="120"/>
      <c r="M307" s="120"/>
      <c r="N307" s="120"/>
      <c r="O307" s="120"/>
      <c r="P307" s="120"/>
    </row>
    <row r="308" spans="1:16" s="121" customFormat="1" x14ac:dyDescent="0.25">
      <c r="A308" s="234"/>
      <c r="B308" s="361">
        <v>34333</v>
      </c>
      <c r="C308" s="140"/>
      <c r="D308" s="360" t="s">
        <v>469</v>
      </c>
      <c r="E308" s="173">
        <f>'Rekapitulacija Posebni dio'!C136</f>
        <v>486.7</v>
      </c>
      <c r="F308" s="173">
        <f>'Rekapitulacija Posebni dio'!D136</f>
        <v>75</v>
      </c>
      <c r="G308" s="173">
        <f>'Rekapitulacija Posebni dio'!E136</f>
        <v>500</v>
      </c>
      <c r="H308" s="173">
        <f>'Rekapitulacija Posebni dio'!F136</f>
        <v>515</v>
      </c>
      <c r="I308" s="173">
        <f>'Rekapitulacija Posebni dio'!G136</f>
        <v>530</v>
      </c>
      <c r="J308" s="120"/>
      <c r="K308" s="120"/>
      <c r="L308" s="120"/>
      <c r="M308" s="120"/>
      <c r="N308" s="120"/>
      <c r="O308" s="120"/>
      <c r="P308" s="120"/>
    </row>
    <row r="309" spans="1:16" s="121" customFormat="1" x14ac:dyDescent="0.25">
      <c r="A309" s="234"/>
      <c r="B309" s="363">
        <v>34339</v>
      </c>
      <c r="C309" s="140"/>
      <c r="D309" s="362" t="s">
        <v>470</v>
      </c>
      <c r="E309" s="173">
        <f>'Rekapitulacija Posebni dio'!C137</f>
        <v>560.95000000000005</v>
      </c>
      <c r="F309" s="173">
        <f>'Rekapitulacija Posebni dio'!D137</f>
        <v>3938.6099999999997</v>
      </c>
      <c r="G309" s="173">
        <f>'Rekapitulacija Posebni dio'!E137</f>
        <v>600</v>
      </c>
      <c r="H309" s="173">
        <f>'Rekapitulacija Posebni dio'!F137</f>
        <v>625</v>
      </c>
      <c r="I309" s="173">
        <f>'Rekapitulacija Posebni dio'!G137</f>
        <v>650</v>
      </c>
      <c r="J309" s="120"/>
      <c r="K309" s="120"/>
      <c r="L309" s="120"/>
      <c r="M309" s="120"/>
      <c r="N309" s="120"/>
      <c r="O309" s="120"/>
      <c r="P309" s="120"/>
    </row>
    <row r="310" spans="1:16" s="121" customFormat="1" x14ac:dyDescent="0.25">
      <c r="A310" s="234"/>
      <c r="B310" s="179">
        <v>3434</v>
      </c>
      <c r="C310" s="161"/>
      <c r="D310" s="252" t="s">
        <v>159</v>
      </c>
      <c r="E310" s="165">
        <f>E311</f>
        <v>342.8</v>
      </c>
      <c r="F310" s="165">
        <f t="shared" ref="F310:I310" si="173">F311</f>
        <v>0</v>
      </c>
      <c r="G310" s="165">
        <f t="shared" si="173"/>
        <v>0</v>
      </c>
      <c r="H310" s="165">
        <f t="shared" si="173"/>
        <v>0</v>
      </c>
      <c r="I310" s="165">
        <f t="shared" si="173"/>
        <v>0</v>
      </c>
      <c r="J310" s="120"/>
      <c r="K310" s="120"/>
      <c r="L310" s="120"/>
      <c r="M310" s="120"/>
      <c r="N310" s="120"/>
      <c r="O310" s="120"/>
      <c r="P310" s="120"/>
    </row>
    <row r="311" spans="1:16" s="121" customFormat="1" x14ac:dyDescent="0.25">
      <c r="A311" s="234"/>
      <c r="B311" s="194">
        <v>34349</v>
      </c>
      <c r="C311" s="140"/>
      <c r="D311" s="249" t="s">
        <v>303</v>
      </c>
      <c r="E311" s="173">
        <f>'Rekapitulacija Posebni dio'!C139</f>
        <v>342.8</v>
      </c>
      <c r="F311" s="173">
        <f>'Rekapitulacija Posebni dio'!D139</f>
        <v>0</v>
      </c>
      <c r="G311" s="173">
        <f>'Rekapitulacija Posebni dio'!E139</f>
        <v>0</v>
      </c>
      <c r="H311" s="173">
        <f>'Rekapitulacija Posebni dio'!F139</f>
        <v>0</v>
      </c>
      <c r="I311" s="173">
        <f>'Rekapitulacija Posebni dio'!G139</f>
        <v>0</v>
      </c>
      <c r="J311" s="120"/>
      <c r="K311" s="120"/>
      <c r="L311" s="120"/>
      <c r="M311" s="120"/>
      <c r="N311" s="120"/>
      <c r="O311" s="120"/>
      <c r="P311" s="120"/>
    </row>
    <row r="312" spans="1:16" s="121" customFormat="1" x14ac:dyDescent="0.25">
      <c r="A312" s="234"/>
      <c r="B312" s="175">
        <v>36</v>
      </c>
      <c r="C312" s="250"/>
      <c r="D312" s="251" t="s">
        <v>160</v>
      </c>
      <c r="E312" s="178">
        <f t="shared" ref="E312:I312" si="174">E313</f>
        <v>0</v>
      </c>
      <c r="F312" s="178">
        <f t="shared" si="174"/>
        <v>0</v>
      </c>
      <c r="G312" s="178">
        <f t="shared" si="174"/>
        <v>0</v>
      </c>
      <c r="H312" s="178">
        <f t="shared" si="174"/>
        <v>0</v>
      </c>
      <c r="I312" s="178">
        <f t="shared" si="174"/>
        <v>0</v>
      </c>
      <c r="J312" s="120"/>
      <c r="K312" s="120"/>
      <c r="L312" s="120"/>
      <c r="M312" s="120"/>
      <c r="N312" s="120"/>
      <c r="O312" s="120"/>
      <c r="P312" s="120"/>
    </row>
    <row r="313" spans="1:16" s="121" customFormat="1" x14ac:dyDescent="0.25">
      <c r="A313" s="234"/>
      <c r="B313" s="179">
        <v>369</v>
      </c>
      <c r="C313" s="161"/>
      <c r="D313" s="252" t="s">
        <v>38</v>
      </c>
      <c r="E313" s="165">
        <f t="shared" ref="E313" si="175">SUM(E315,E314)</f>
        <v>0</v>
      </c>
      <c r="F313" s="165">
        <f t="shared" ref="F313:I313" si="176">SUM(F315,F314)</f>
        <v>0</v>
      </c>
      <c r="G313" s="165">
        <f t="shared" si="176"/>
        <v>0</v>
      </c>
      <c r="H313" s="165">
        <f t="shared" si="176"/>
        <v>0</v>
      </c>
      <c r="I313" s="165">
        <f t="shared" si="176"/>
        <v>0</v>
      </c>
      <c r="J313" s="120"/>
      <c r="K313" s="120"/>
      <c r="L313" s="120"/>
      <c r="M313" s="120"/>
      <c r="N313" s="120"/>
      <c r="O313" s="120"/>
      <c r="P313" s="120"/>
    </row>
    <row r="314" spans="1:16" s="121" customFormat="1" x14ac:dyDescent="0.25">
      <c r="A314" s="234"/>
      <c r="B314" s="179">
        <v>3691</v>
      </c>
      <c r="C314" s="161"/>
      <c r="D314" s="252" t="s">
        <v>161</v>
      </c>
      <c r="E314" s="173"/>
      <c r="F314" s="173"/>
      <c r="G314" s="173"/>
      <c r="H314" s="173"/>
      <c r="I314" s="173"/>
      <c r="J314" s="120"/>
      <c r="K314" s="120"/>
      <c r="L314" s="120"/>
      <c r="M314" s="120"/>
      <c r="N314" s="120"/>
      <c r="O314" s="120"/>
      <c r="P314" s="120"/>
    </row>
    <row r="315" spans="1:16" s="121" customFormat="1" x14ac:dyDescent="0.25">
      <c r="A315" s="234"/>
      <c r="B315" s="179">
        <v>3692</v>
      </c>
      <c r="C315" s="161"/>
      <c r="D315" s="252" t="s">
        <v>162</v>
      </c>
      <c r="E315" s="173"/>
      <c r="F315" s="173"/>
      <c r="G315" s="173"/>
      <c r="H315" s="173"/>
      <c r="I315" s="173"/>
      <c r="J315" s="120"/>
      <c r="K315" s="120"/>
      <c r="L315" s="120"/>
      <c r="M315" s="120"/>
      <c r="N315" s="120"/>
      <c r="O315" s="120"/>
      <c r="P315" s="120"/>
    </row>
    <row r="316" spans="1:16" s="121" customFormat="1" x14ac:dyDescent="0.25">
      <c r="A316" s="234"/>
      <c r="B316" s="175">
        <v>37</v>
      </c>
      <c r="C316" s="250"/>
      <c r="D316" s="364" t="s">
        <v>163</v>
      </c>
      <c r="E316" s="178">
        <f t="shared" ref="E316:I317" si="177">SUM(E317)</f>
        <v>9591.11</v>
      </c>
      <c r="F316" s="178">
        <f t="shared" si="177"/>
        <v>2000</v>
      </c>
      <c r="G316" s="178">
        <f t="shared" si="177"/>
        <v>1500</v>
      </c>
      <c r="H316" s="178">
        <f t="shared" si="177"/>
        <v>1500</v>
      </c>
      <c r="I316" s="178">
        <f t="shared" si="177"/>
        <v>1500</v>
      </c>
      <c r="J316" s="120"/>
      <c r="K316" s="120"/>
      <c r="L316" s="120"/>
      <c r="M316" s="120"/>
      <c r="N316" s="120"/>
      <c r="O316" s="120"/>
      <c r="P316" s="120"/>
    </row>
    <row r="317" spans="1:16" s="121" customFormat="1" x14ac:dyDescent="0.25">
      <c r="A317" s="234"/>
      <c r="B317" s="179">
        <v>372</v>
      </c>
      <c r="C317" s="161"/>
      <c r="D317" s="365" t="s">
        <v>164</v>
      </c>
      <c r="E317" s="165">
        <f t="shared" si="177"/>
        <v>9591.11</v>
      </c>
      <c r="F317" s="165">
        <f t="shared" si="177"/>
        <v>2000</v>
      </c>
      <c r="G317" s="165">
        <f t="shared" si="177"/>
        <v>1500</v>
      </c>
      <c r="H317" s="165">
        <f t="shared" si="177"/>
        <v>1500</v>
      </c>
      <c r="I317" s="165">
        <f t="shared" si="177"/>
        <v>1500</v>
      </c>
      <c r="J317" s="120"/>
      <c r="K317" s="120"/>
      <c r="L317" s="120"/>
      <c r="M317" s="120"/>
      <c r="N317" s="120"/>
      <c r="O317" s="120"/>
      <c r="P317" s="120"/>
    </row>
    <row r="318" spans="1:16" s="121" customFormat="1" x14ac:dyDescent="0.25">
      <c r="A318" s="234"/>
      <c r="B318" s="179">
        <v>3721</v>
      </c>
      <c r="C318" s="161"/>
      <c r="D318" s="365" t="s">
        <v>165</v>
      </c>
      <c r="E318" s="165">
        <f t="shared" ref="E318" si="178">SUM(E319:E320)</f>
        <v>9591.11</v>
      </c>
      <c r="F318" s="165">
        <f t="shared" ref="F318:I318" si="179">SUM(F319:F320)</f>
        <v>2000</v>
      </c>
      <c r="G318" s="165">
        <f t="shared" si="179"/>
        <v>1500</v>
      </c>
      <c r="H318" s="165">
        <f t="shared" si="179"/>
        <v>1500</v>
      </c>
      <c r="I318" s="165">
        <f t="shared" si="179"/>
        <v>1500</v>
      </c>
      <c r="J318" s="120"/>
      <c r="K318" s="120"/>
      <c r="L318" s="120"/>
      <c r="M318" s="120"/>
      <c r="N318" s="120"/>
      <c r="O318" s="120"/>
      <c r="P318" s="120"/>
    </row>
    <row r="319" spans="1:16" s="121" customFormat="1" x14ac:dyDescent="0.25">
      <c r="A319" s="234"/>
      <c r="B319" s="363">
        <v>37212</v>
      </c>
      <c r="C319" s="161"/>
      <c r="D319" s="362" t="s">
        <v>521</v>
      </c>
      <c r="E319" s="173">
        <f>'Rekapitulacija Posebni dio'!C146</f>
        <v>0</v>
      </c>
      <c r="F319" s="173">
        <f>'Rekapitulacija Posebni dio'!D146</f>
        <v>1500</v>
      </c>
      <c r="G319" s="173">
        <f>'Rekapitulacija Posebni dio'!E146</f>
        <v>1000</v>
      </c>
      <c r="H319" s="173">
        <f>'Rekapitulacija Posebni dio'!F146</f>
        <v>1000</v>
      </c>
      <c r="I319" s="173">
        <f>'Rekapitulacija Posebni dio'!G146</f>
        <v>1000</v>
      </c>
      <c r="J319" s="120"/>
      <c r="K319" s="120"/>
      <c r="L319" s="120"/>
      <c r="M319" s="120"/>
      <c r="N319" s="120"/>
      <c r="O319" s="120"/>
      <c r="P319" s="120"/>
    </row>
    <row r="320" spans="1:16" s="121" customFormat="1" x14ac:dyDescent="0.25">
      <c r="A320" s="234"/>
      <c r="B320" s="363">
        <v>37215</v>
      </c>
      <c r="C320" s="140"/>
      <c r="D320" s="362" t="s">
        <v>472</v>
      </c>
      <c r="E320" s="173">
        <f>'Rekapitulacija Posebni dio'!C147</f>
        <v>9591.11</v>
      </c>
      <c r="F320" s="173">
        <f>'Rekapitulacija Posebni dio'!D147</f>
        <v>500</v>
      </c>
      <c r="G320" s="173">
        <f>'Rekapitulacija Posebni dio'!E147</f>
        <v>500</v>
      </c>
      <c r="H320" s="173">
        <f>'Rekapitulacija Posebni dio'!F147</f>
        <v>500</v>
      </c>
      <c r="I320" s="173">
        <f>'Rekapitulacija Posebni dio'!G147</f>
        <v>500</v>
      </c>
      <c r="J320" s="120"/>
      <c r="K320" s="120"/>
      <c r="L320" s="120"/>
      <c r="M320" s="120"/>
      <c r="N320" s="120"/>
      <c r="O320" s="120"/>
      <c r="P320" s="120"/>
    </row>
    <row r="321" spans="1:16" s="121" customFormat="1" x14ac:dyDescent="0.25">
      <c r="A321" s="234"/>
      <c r="B321" s="141" t="s">
        <v>166</v>
      </c>
      <c r="C321" s="215"/>
      <c r="D321" s="233" t="s">
        <v>99</v>
      </c>
      <c r="E321" s="178">
        <f t="shared" ref="E321" si="180">E324+E322+E330</f>
        <v>476.22</v>
      </c>
      <c r="F321" s="178">
        <f t="shared" ref="F321:I321" si="181">F324+F322+F330</f>
        <v>500</v>
      </c>
      <c r="G321" s="178">
        <f t="shared" si="181"/>
        <v>500</v>
      </c>
      <c r="H321" s="178">
        <f t="shared" si="181"/>
        <v>500</v>
      </c>
      <c r="I321" s="178">
        <f t="shared" si="181"/>
        <v>500</v>
      </c>
      <c r="J321" s="120"/>
      <c r="K321" s="120"/>
      <c r="L321" s="120"/>
      <c r="M321" s="120"/>
      <c r="N321" s="120"/>
      <c r="O321" s="120"/>
      <c r="P321" s="120"/>
    </row>
    <row r="322" spans="1:16" s="121" customFormat="1" x14ac:dyDescent="0.25">
      <c r="A322" s="234"/>
      <c r="B322" s="162" t="s">
        <v>167</v>
      </c>
      <c r="C322" s="202"/>
      <c r="D322" s="256" t="s">
        <v>168</v>
      </c>
      <c r="E322" s="165">
        <f t="shared" ref="E322:I322" si="182">E323</f>
        <v>0</v>
      </c>
      <c r="F322" s="165">
        <f t="shared" si="182"/>
        <v>0</v>
      </c>
      <c r="G322" s="165">
        <f t="shared" si="182"/>
        <v>0</v>
      </c>
      <c r="H322" s="165">
        <f t="shared" si="182"/>
        <v>0</v>
      </c>
      <c r="I322" s="165">
        <f t="shared" si="182"/>
        <v>0</v>
      </c>
      <c r="J322" s="120"/>
      <c r="K322" s="120"/>
      <c r="L322" s="120"/>
      <c r="M322" s="120"/>
      <c r="N322" s="120"/>
      <c r="O322" s="120"/>
      <c r="P322" s="120"/>
    </row>
    <row r="323" spans="1:16" s="121" customFormat="1" x14ac:dyDescent="0.25">
      <c r="A323" s="234"/>
      <c r="B323" s="162" t="s">
        <v>169</v>
      </c>
      <c r="C323" s="202"/>
      <c r="D323" s="256" t="s">
        <v>168</v>
      </c>
      <c r="E323" s="173"/>
      <c r="F323" s="173"/>
      <c r="G323" s="173"/>
      <c r="H323" s="173"/>
      <c r="I323" s="173"/>
      <c r="J323" s="120"/>
      <c r="K323" s="120"/>
      <c r="L323" s="120"/>
      <c r="M323" s="120"/>
      <c r="N323" s="120"/>
      <c r="O323" s="120"/>
      <c r="P323" s="120"/>
    </row>
    <row r="324" spans="1:16" s="121" customFormat="1" x14ac:dyDescent="0.25">
      <c r="A324" s="234"/>
      <c r="B324" s="179">
        <v>383</v>
      </c>
      <c r="C324" s="161"/>
      <c r="D324" s="252" t="s">
        <v>170</v>
      </c>
      <c r="E324" s="165">
        <f t="shared" ref="E324" si="183">E325+E326+E327+E329</f>
        <v>476.22</v>
      </c>
      <c r="F324" s="165">
        <f t="shared" ref="F324:I324" si="184">F325+F326+F327+F329</f>
        <v>500</v>
      </c>
      <c r="G324" s="165">
        <f t="shared" si="184"/>
        <v>500</v>
      </c>
      <c r="H324" s="165">
        <f t="shared" si="184"/>
        <v>500</v>
      </c>
      <c r="I324" s="165">
        <f t="shared" si="184"/>
        <v>500</v>
      </c>
      <c r="J324" s="120"/>
      <c r="K324" s="120"/>
      <c r="L324" s="120"/>
      <c r="M324" s="120"/>
      <c r="N324" s="120"/>
      <c r="O324" s="120"/>
      <c r="P324" s="120"/>
    </row>
    <row r="325" spans="1:16" s="121" customFormat="1" x14ac:dyDescent="0.25">
      <c r="A325" s="234"/>
      <c r="B325" s="179">
        <v>3831</v>
      </c>
      <c r="C325" s="161"/>
      <c r="D325" s="252" t="s">
        <v>171</v>
      </c>
      <c r="E325" s="173"/>
      <c r="F325" s="173"/>
      <c r="G325" s="173"/>
      <c r="H325" s="173"/>
      <c r="I325" s="173"/>
      <c r="J325" s="120"/>
      <c r="K325" s="120"/>
      <c r="L325" s="120"/>
      <c r="M325" s="120"/>
      <c r="N325" s="120"/>
      <c r="O325" s="120"/>
      <c r="P325" s="120"/>
    </row>
    <row r="326" spans="1:16" s="121" customFormat="1" x14ac:dyDescent="0.25">
      <c r="A326" s="234"/>
      <c r="B326" s="179">
        <v>3833</v>
      </c>
      <c r="C326" s="161"/>
      <c r="D326" s="252" t="s">
        <v>172</v>
      </c>
      <c r="E326" s="173"/>
      <c r="F326" s="173"/>
      <c r="G326" s="173"/>
      <c r="H326" s="173"/>
      <c r="I326" s="173"/>
      <c r="J326" s="120"/>
      <c r="K326" s="120"/>
      <c r="L326" s="120"/>
      <c r="M326" s="120"/>
      <c r="N326" s="120"/>
      <c r="O326" s="120"/>
      <c r="P326" s="120"/>
    </row>
    <row r="327" spans="1:16" s="121" customFormat="1" x14ac:dyDescent="0.25">
      <c r="A327" s="234"/>
      <c r="B327" s="179">
        <v>3834</v>
      </c>
      <c r="C327" s="161"/>
      <c r="D327" s="252" t="s">
        <v>173</v>
      </c>
      <c r="E327" s="165">
        <f t="shared" ref="E327:I327" si="185">SUM(E328)</f>
        <v>476.22</v>
      </c>
      <c r="F327" s="165">
        <f t="shared" si="185"/>
        <v>500</v>
      </c>
      <c r="G327" s="165">
        <f t="shared" si="185"/>
        <v>500</v>
      </c>
      <c r="H327" s="165">
        <f t="shared" si="185"/>
        <v>500</v>
      </c>
      <c r="I327" s="165">
        <f t="shared" si="185"/>
        <v>500</v>
      </c>
      <c r="J327" s="120"/>
      <c r="K327" s="120"/>
      <c r="L327" s="120"/>
      <c r="M327" s="120"/>
      <c r="N327" s="120"/>
      <c r="O327" s="120"/>
      <c r="P327" s="120"/>
    </row>
    <row r="328" spans="1:16" s="121" customFormat="1" x14ac:dyDescent="0.25">
      <c r="A328" s="234"/>
      <c r="B328" s="194">
        <v>38341</v>
      </c>
      <c r="C328" s="140"/>
      <c r="D328" s="249" t="s">
        <v>173</v>
      </c>
      <c r="E328" s="173">
        <f>'Rekapitulacija Posebni dio'!C155</f>
        <v>476.22</v>
      </c>
      <c r="F328" s="173">
        <f>'Rekapitulacija Posebni dio'!D155</f>
        <v>500</v>
      </c>
      <c r="G328" s="173">
        <f>'Rekapitulacija Posebni dio'!E155</f>
        <v>500</v>
      </c>
      <c r="H328" s="173">
        <f>'Rekapitulacija Posebni dio'!F155</f>
        <v>500</v>
      </c>
      <c r="I328" s="173">
        <f>'Rekapitulacija Posebni dio'!G155</f>
        <v>500</v>
      </c>
      <c r="J328" s="120"/>
      <c r="K328" s="120"/>
      <c r="L328" s="120"/>
      <c r="M328" s="120"/>
      <c r="N328" s="120"/>
      <c r="O328" s="120"/>
      <c r="P328" s="120"/>
    </row>
    <row r="329" spans="1:16" s="121" customFormat="1" x14ac:dyDescent="0.25">
      <c r="A329" s="234"/>
      <c r="B329" s="179">
        <v>3835</v>
      </c>
      <c r="C329" s="161"/>
      <c r="D329" s="252" t="s">
        <v>174</v>
      </c>
      <c r="E329" s="173"/>
      <c r="F329" s="173"/>
      <c r="G329" s="173"/>
      <c r="H329" s="173"/>
      <c r="I329" s="173"/>
      <c r="J329" s="120"/>
      <c r="K329" s="120"/>
      <c r="L329" s="120"/>
      <c r="M329" s="120"/>
      <c r="N329" s="120"/>
      <c r="O329" s="120"/>
      <c r="P329" s="120"/>
    </row>
    <row r="330" spans="1:16" s="121" customFormat="1" x14ac:dyDescent="0.25">
      <c r="A330" s="234"/>
      <c r="B330" s="366">
        <v>385</v>
      </c>
      <c r="C330" s="367"/>
      <c r="D330" s="367" t="s">
        <v>310</v>
      </c>
      <c r="E330" s="165">
        <f t="shared" ref="E330:I330" si="186">E331</f>
        <v>0</v>
      </c>
      <c r="F330" s="165">
        <f t="shared" si="186"/>
        <v>0</v>
      </c>
      <c r="G330" s="165">
        <f t="shared" si="186"/>
        <v>0</v>
      </c>
      <c r="H330" s="165">
        <f t="shared" si="186"/>
        <v>0</v>
      </c>
      <c r="I330" s="165">
        <f t="shared" si="186"/>
        <v>0</v>
      </c>
      <c r="J330" s="120"/>
      <c r="K330" s="120"/>
      <c r="L330" s="120"/>
      <c r="M330" s="120"/>
      <c r="N330" s="120"/>
      <c r="O330" s="120"/>
      <c r="P330" s="120"/>
    </row>
    <row r="331" spans="1:16" s="121" customFormat="1" x14ac:dyDescent="0.25">
      <c r="A331" s="234"/>
      <c r="B331" s="366">
        <v>3859</v>
      </c>
      <c r="C331" s="367"/>
      <c r="D331" s="367" t="s">
        <v>310</v>
      </c>
      <c r="E331" s="173"/>
      <c r="F331" s="173"/>
      <c r="G331" s="173"/>
      <c r="H331" s="173"/>
      <c r="I331" s="173"/>
      <c r="J331" s="120"/>
      <c r="K331" s="120"/>
      <c r="L331" s="120"/>
      <c r="M331" s="120"/>
      <c r="N331" s="120"/>
      <c r="O331" s="120"/>
      <c r="P331" s="120"/>
    </row>
    <row r="332" spans="1:16" s="121" customFormat="1" x14ac:dyDescent="0.25">
      <c r="A332" s="258">
        <v>4</v>
      </c>
      <c r="B332" s="259"/>
      <c r="C332" s="260"/>
      <c r="D332" s="261" t="s">
        <v>175</v>
      </c>
      <c r="E332" s="214">
        <f t="shared" ref="E332" si="187">E333+E338+E360</f>
        <v>20996.03</v>
      </c>
      <c r="F332" s="214">
        <f t="shared" ref="F332:I332" si="188">F333+F338+F360</f>
        <v>125512.17000000001</v>
      </c>
      <c r="G332" s="214">
        <f t="shared" si="188"/>
        <v>85372.28</v>
      </c>
      <c r="H332" s="214">
        <f t="shared" si="188"/>
        <v>88322.28</v>
      </c>
      <c r="I332" s="214">
        <f t="shared" si="188"/>
        <v>91272.28</v>
      </c>
      <c r="J332" s="120"/>
      <c r="K332" s="120"/>
      <c r="L332" s="120"/>
      <c r="M332" s="120"/>
      <c r="N332" s="120"/>
      <c r="O332" s="120"/>
      <c r="P332" s="120"/>
    </row>
    <row r="333" spans="1:16" s="121" customFormat="1" x14ac:dyDescent="0.25">
      <c r="A333" s="167"/>
      <c r="B333" s="141" t="s">
        <v>176</v>
      </c>
      <c r="C333" s="215"/>
      <c r="D333" s="262" t="s">
        <v>177</v>
      </c>
      <c r="E333" s="178">
        <f t="shared" ref="E333" si="189">SUM(E336)</f>
        <v>0</v>
      </c>
      <c r="F333" s="178">
        <f t="shared" ref="F333:I333" si="190">SUM(F336)</f>
        <v>0</v>
      </c>
      <c r="G333" s="178">
        <f t="shared" si="190"/>
        <v>0</v>
      </c>
      <c r="H333" s="178">
        <f t="shared" si="190"/>
        <v>0</v>
      </c>
      <c r="I333" s="178">
        <f t="shared" si="190"/>
        <v>0</v>
      </c>
      <c r="J333" s="120"/>
      <c r="K333" s="120"/>
      <c r="L333" s="120"/>
      <c r="M333" s="120"/>
      <c r="N333" s="120"/>
      <c r="O333" s="120"/>
      <c r="P333" s="120"/>
    </row>
    <row r="334" spans="1:16" s="121" customFormat="1" x14ac:dyDescent="0.25">
      <c r="A334" s="167"/>
      <c r="B334" s="162" t="s">
        <v>178</v>
      </c>
      <c r="C334" s="202"/>
      <c r="D334" s="263" t="s">
        <v>179</v>
      </c>
      <c r="E334" s="165">
        <f t="shared" ref="E334:I334" si="191">SUM(E335)</f>
        <v>0</v>
      </c>
      <c r="F334" s="165">
        <f t="shared" si="191"/>
        <v>0</v>
      </c>
      <c r="G334" s="165">
        <f t="shared" si="191"/>
        <v>0</v>
      </c>
      <c r="H334" s="165">
        <f t="shared" si="191"/>
        <v>0</v>
      </c>
      <c r="I334" s="165">
        <f t="shared" si="191"/>
        <v>0</v>
      </c>
      <c r="J334" s="120"/>
      <c r="K334" s="120"/>
      <c r="L334" s="120"/>
      <c r="M334" s="120"/>
      <c r="N334" s="120"/>
      <c r="O334" s="120"/>
      <c r="P334" s="120"/>
    </row>
    <row r="335" spans="1:16" s="121" customFormat="1" x14ac:dyDescent="0.25">
      <c r="A335" s="167"/>
      <c r="B335" s="162" t="s">
        <v>180</v>
      </c>
      <c r="C335" s="202"/>
      <c r="D335" s="263" t="s">
        <v>181</v>
      </c>
      <c r="E335" s="165"/>
      <c r="F335" s="165"/>
      <c r="G335" s="165"/>
      <c r="H335" s="165"/>
      <c r="I335" s="165"/>
      <c r="J335" s="120"/>
      <c r="K335" s="120"/>
      <c r="L335" s="120"/>
      <c r="M335" s="120"/>
      <c r="N335" s="120"/>
      <c r="O335" s="120"/>
      <c r="P335" s="120"/>
    </row>
    <row r="336" spans="1:16" s="121" customFormat="1" x14ac:dyDescent="0.25">
      <c r="A336" s="167"/>
      <c r="B336" s="184">
        <v>412</v>
      </c>
      <c r="C336" s="166"/>
      <c r="D336" s="265" t="s">
        <v>182</v>
      </c>
      <c r="E336" s="165">
        <f t="shared" ref="E336:I336" si="192">SUM(E337)</f>
        <v>0</v>
      </c>
      <c r="F336" s="165">
        <f t="shared" si="192"/>
        <v>0</v>
      </c>
      <c r="G336" s="165">
        <f t="shared" si="192"/>
        <v>0</v>
      </c>
      <c r="H336" s="165">
        <f t="shared" si="192"/>
        <v>0</v>
      </c>
      <c r="I336" s="165">
        <f t="shared" si="192"/>
        <v>0</v>
      </c>
      <c r="J336" s="120"/>
      <c r="K336" s="120"/>
      <c r="L336" s="120"/>
      <c r="M336" s="120"/>
      <c r="N336" s="120"/>
      <c r="O336" s="120"/>
      <c r="P336" s="120"/>
    </row>
    <row r="337" spans="1:16" s="121" customFormat="1" x14ac:dyDescent="0.25">
      <c r="A337" s="190"/>
      <c r="B337" s="184">
        <v>4123</v>
      </c>
      <c r="C337" s="166"/>
      <c r="D337" s="265" t="s">
        <v>183</v>
      </c>
      <c r="E337" s="165"/>
      <c r="F337" s="165"/>
      <c r="G337" s="165"/>
      <c r="H337" s="165"/>
      <c r="I337" s="165"/>
      <c r="J337" s="120"/>
      <c r="K337" s="120"/>
      <c r="L337" s="120"/>
      <c r="M337" s="120"/>
      <c r="N337" s="120"/>
      <c r="O337" s="120"/>
      <c r="P337" s="120"/>
    </row>
    <row r="338" spans="1:16" s="121" customFormat="1" x14ac:dyDescent="0.25">
      <c r="A338" s="234"/>
      <c r="B338" s="141">
        <v>42</v>
      </c>
      <c r="C338" s="215"/>
      <c r="D338" s="233" t="s">
        <v>184</v>
      </c>
      <c r="E338" s="178">
        <f t="shared" ref="E338" si="193">SUM(E339,E355,E358)</f>
        <v>7392.89</v>
      </c>
      <c r="F338" s="178">
        <f t="shared" ref="F338:I338" si="194">SUM(F339,F355,F358)</f>
        <v>102328.35</v>
      </c>
      <c r="G338" s="178">
        <f t="shared" si="194"/>
        <v>75372.28</v>
      </c>
      <c r="H338" s="178">
        <f t="shared" si="194"/>
        <v>78322.28</v>
      </c>
      <c r="I338" s="178">
        <f t="shared" si="194"/>
        <v>81272.28</v>
      </c>
      <c r="J338" s="120"/>
      <c r="K338" s="120"/>
      <c r="L338" s="120"/>
      <c r="M338" s="120"/>
      <c r="N338" s="120"/>
      <c r="O338" s="120"/>
      <c r="P338" s="120"/>
    </row>
    <row r="339" spans="1:16" s="121" customFormat="1" x14ac:dyDescent="0.25">
      <c r="A339" s="234"/>
      <c r="B339" s="162">
        <v>422</v>
      </c>
      <c r="C339" s="234"/>
      <c r="D339" s="202" t="s">
        <v>185</v>
      </c>
      <c r="E339" s="165">
        <f t="shared" ref="E339" si="195">E340+E345+E348+E351+E353</f>
        <v>7392.89</v>
      </c>
      <c r="F339" s="165">
        <f t="shared" ref="F339:I339" si="196">F340+F345+F348+F351+F353</f>
        <v>95606.07</v>
      </c>
      <c r="G339" s="165">
        <f t="shared" si="196"/>
        <v>68650</v>
      </c>
      <c r="H339" s="165">
        <f t="shared" si="196"/>
        <v>71600</v>
      </c>
      <c r="I339" s="165">
        <f t="shared" si="196"/>
        <v>74550</v>
      </c>
      <c r="J339" s="120"/>
      <c r="K339" s="120"/>
      <c r="L339" s="120"/>
      <c r="M339" s="120"/>
      <c r="N339" s="120"/>
      <c r="O339" s="120"/>
      <c r="P339" s="120"/>
    </row>
    <row r="340" spans="1:16" s="121" customFormat="1" x14ac:dyDescent="0.25">
      <c r="A340" s="234"/>
      <c r="B340" s="162" t="s">
        <v>186</v>
      </c>
      <c r="C340" s="202"/>
      <c r="D340" s="202" t="s">
        <v>187</v>
      </c>
      <c r="E340" s="165">
        <f t="shared" ref="E340" si="197">SUM(E341:E343)</f>
        <v>0</v>
      </c>
      <c r="F340" s="165">
        <f t="shared" ref="F340:I340" si="198">SUM(F341:F343)</f>
        <v>13272.28</v>
      </c>
      <c r="G340" s="165">
        <f t="shared" si="198"/>
        <v>7800</v>
      </c>
      <c r="H340" s="165">
        <f t="shared" si="198"/>
        <v>7800</v>
      </c>
      <c r="I340" s="165">
        <f t="shared" si="198"/>
        <v>7800</v>
      </c>
      <c r="J340" s="120"/>
      <c r="K340" s="120"/>
      <c r="L340" s="120"/>
      <c r="M340" s="120"/>
      <c r="N340" s="120"/>
      <c r="O340" s="120"/>
      <c r="P340" s="120"/>
    </row>
    <row r="341" spans="1:16" s="121" customFormat="1" x14ac:dyDescent="0.25">
      <c r="A341" s="234"/>
      <c r="B341" s="235">
        <v>42211</v>
      </c>
      <c r="C341" s="202"/>
      <c r="D341" s="234" t="s">
        <v>473</v>
      </c>
      <c r="E341" s="173">
        <f>'Rekapitulacija Posebni dio'!C169</f>
        <v>0</v>
      </c>
      <c r="F341" s="173">
        <f>'Rekapitulacija Posebni dio'!D169</f>
        <v>1250</v>
      </c>
      <c r="G341" s="173">
        <f>'Rekapitulacija Posebni dio'!E169</f>
        <v>1000</v>
      </c>
      <c r="H341" s="173">
        <f>'Rekapitulacija Posebni dio'!F169</f>
        <v>1000</v>
      </c>
      <c r="I341" s="173">
        <f>'Rekapitulacija Posebni dio'!G169</f>
        <v>1000</v>
      </c>
      <c r="J341" s="120"/>
      <c r="K341" s="120"/>
      <c r="L341" s="120"/>
      <c r="M341" s="120"/>
      <c r="N341" s="120"/>
      <c r="O341" s="120"/>
      <c r="P341" s="120"/>
    </row>
    <row r="342" spans="1:16" s="121" customFormat="1" x14ac:dyDescent="0.25">
      <c r="A342" s="234"/>
      <c r="B342" s="235">
        <v>42212</v>
      </c>
      <c r="C342" s="202"/>
      <c r="D342" s="234" t="s">
        <v>474</v>
      </c>
      <c r="E342" s="173">
        <f>'Rekapitulacija Posebni dio'!C170</f>
        <v>0</v>
      </c>
      <c r="F342" s="173">
        <f>'Rekapitulacija Posebni dio'!D170</f>
        <v>10672.28</v>
      </c>
      <c r="G342" s="173">
        <f>'Rekapitulacija Posebni dio'!E170</f>
        <v>6000</v>
      </c>
      <c r="H342" s="173">
        <f>'Rekapitulacija Posebni dio'!F170</f>
        <v>6000</v>
      </c>
      <c r="I342" s="173">
        <f>'Rekapitulacija Posebni dio'!G170</f>
        <v>6000</v>
      </c>
      <c r="J342" s="120"/>
      <c r="K342" s="120"/>
      <c r="L342" s="120"/>
      <c r="M342" s="120"/>
      <c r="N342" s="120"/>
      <c r="O342" s="120"/>
      <c r="P342" s="120"/>
    </row>
    <row r="343" spans="1:16" s="121" customFormat="1" x14ac:dyDescent="0.25">
      <c r="A343" s="234"/>
      <c r="B343" s="235" t="s">
        <v>559</v>
      </c>
      <c r="C343" s="234"/>
      <c r="D343" s="234" t="s">
        <v>475</v>
      </c>
      <c r="E343" s="173">
        <f>'Rekapitulacija Posebni dio'!C171</f>
        <v>0</v>
      </c>
      <c r="F343" s="173">
        <f>'Rekapitulacija Posebni dio'!D171</f>
        <v>1350</v>
      </c>
      <c r="G343" s="173">
        <f>'Rekapitulacija Posebni dio'!E171</f>
        <v>800</v>
      </c>
      <c r="H343" s="173">
        <f>'Rekapitulacija Posebni dio'!F171</f>
        <v>800</v>
      </c>
      <c r="I343" s="173">
        <f>'Rekapitulacija Posebni dio'!G171</f>
        <v>800</v>
      </c>
      <c r="J343" s="120"/>
      <c r="K343" s="120"/>
      <c r="L343" s="120"/>
      <c r="M343" s="120"/>
      <c r="N343" s="120"/>
      <c r="O343" s="120"/>
      <c r="P343" s="120"/>
    </row>
    <row r="344" spans="1:16" s="121" customFormat="1" x14ac:dyDescent="0.25">
      <c r="A344" s="234"/>
      <c r="B344" s="162" t="s">
        <v>188</v>
      </c>
      <c r="C344" s="202"/>
      <c r="D344" s="202" t="s">
        <v>189</v>
      </c>
      <c r="E344" s="165"/>
      <c r="F344" s="165"/>
      <c r="G344" s="165"/>
      <c r="H344" s="165"/>
      <c r="I344" s="165"/>
      <c r="J344" s="120"/>
      <c r="K344" s="120"/>
      <c r="L344" s="120"/>
      <c r="M344" s="120"/>
      <c r="N344" s="120"/>
      <c r="O344" s="120"/>
      <c r="P344" s="120"/>
    </row>
    <row r="345" spans="1:16" s="121" customFormat="1" x14ac:dyDescent="0.25">
      <c r="A345" s="234"/>
      <c r="B345" s="184">
        <v>4223</v>
      </c>
      <c r="C345" s="166"/>
      <c r="D345" s="265" t="s">
        <v>190</v>
      </c>
      <c r="E345" s="165">
        <f t="shared" ref="E345" si="199">SUM(E346:E347)</f>
        <v>0</v>
      </c>
      <c r="F345" s="165">
        <f t="shared" ref="F345:I345" si="200">SUM(F346:F347)</f>
        <v>13272.28</v>
      </c>
      <c r="G345" s="165">
        <f t="shared" si="200"/>
        <v>7350</v>
      </c>
      <c r="H345" s="165">
        <f t="shared" si="200"/>
        <v>7850</v>
      </c>
      <c r="I345" s="165">
        <f t="shared" si="200"/>
        <v>8350</v>
      </c>
      <c r="J345" s="120"/>
      <c r="K345" s="120"/>
      <c r="L345" s="120"/>
      <c r="M345" s="120"/>
      <c r="N345" s="120"/>
      <c r="O345" s="120"/>
      <c r="P345" s="120"/>
    </row>
    <row r="346" spans="1:16" s="121" customFormat="1" x14ac:dyDescent="0.25">
      <c r="A346" s="234"/>
      <c r="B346" s="235" t="s">
        <v>537</v>
      </c>
      <c r="C346" s="234"/>
      <c r="D346" s="357" t="s">
        <v>477</v>
      </c>
      <c r="E346" s="173">
        <f>'Rekapitulacija Posebni dio'!C174</f>
        <v>0</v>
      </c>
      <c r="F346" s="173">
        <f>'Rekapitulacija Posebni dio'!D174</f>
        <v>12922.28</v>
      </c>
      <c r="G346" s="173">
        <f>'Rekapitulacija Posebni dio'!E174</f>
        <v>7000</v>
      </c>
      <c r="H346" s="173">
        <f>'Rekapitulacija Posebni dio'!F174</f>
        <v>7500</v>
      </c>
      <c r="I346" s="173">
        <f>'Rekapitulacija Posebni dio'!G174</f>
        <v>8000</v>
      </c>
      <c r="J346" s="120"/>
      <c r="K346" s="120"/>
      <c r="L346" s="120"/>
      <c r="M346" s="120"/>
      <c r="N346" s="120"/>
      <c r="O346" s="120"/>
      <c r="P346" s="120"/>
    </row>
    <row r="347" spans="1:16" s="121" customFormat="1" x14ac:dyDescent="0.25">
      <c r="A347" s="190"/>
      <c r="B347" s="187">
        <v>42232</v>
      </c>
      <c r="C347" s="170"/>
      <c r="D347" s="368" t="s">
        <v>476</v>
      </c>
      <c r="E347" s="173">
        <f>'Rekapitulacija Posebni dio'!C175</f>
        <v>0</v>
      </c>
      <c r="F347" s="173">
        <f>'Rekapitulacija Posebni dio'!D175</f>
        <v>350</v>
      </c>
      <c r="G347" s="173">
        <f>'Rekapitulacija Posebni dio'!E175</f>
        <v>350</v>
      </c>
      <c r="H347" s="173">
        <f>'Rekapitulacija Posebni dio'!F175</f>
        <v>350</v>
      </c>
      <c r="I347" s="173">
        <f>'Rekapitulacija Posebni dio'!G175</f>
        <v>350</v>
      </c>
      <c r="J347" s="120"/>
      <c r="K347" s="120"/>
      <c r="L347" s="120"/>
      <c r="M347" s="120"/>
      <c r="N347" s="120"/>
      <c r="O347" s="120"/>
      <c r="P347" s="120"/>
    </row>
    <row r="348" spans="1:16" s="121" customFormat="1" x14ac:dyDescent="0.25">
      <c r="A348" s="190"/>
      <c r="B348" s="184">
        <v>4224</v>
      </c>
      <c r="C348" s="166"/>
      <c r="D348" s="265" t="s">
        <v>191</v>
      </c>
      <c r="E348" s="165">
        <f t="shared" ref="E348" si="201">SUM(E349:E350)</f>
        <v>0</v>
      </c>
      <c r="F348" s="165">
        <f t="shared" ref="F348:I348" si="202">SUM(F349:F350)</f>
        <v>59725.26</v>
      </c>
      <c r="G348" s="165">
        <f t="shared" si="202"/>
        <v>46500</v>
      </c>
      <c r="H348" s="165">
        <f t="shared" si="202"/>
        <v>48600</v>
      </c>
      <c r="I348" s="165">
        <f t="shared" si="202"/>
        <v>50700</v>
      </c>
      <c r="J348" s="120"/>
      <c r="K348" s="120"/>
      <c r="L348" s="120"/>
      <c r="M348" s="120"/>
      <c r="N348" s="120"/>
      <c r="O348" s="120"/>
      <c r="P348" s="120"/>
    </row>
    <row r="349" spans="1:16" s="121" customFormat="1" x14ac:dyDescent="0.25">
      <c r="A349" s="190"/>
      <c r="B349" s="187">
        <v>42241</v>
      </c>
      <c r="C349" s="170"/>
      <c r="D349" s="266" t="s">
        <v>478</v>
      </c>
      <c r="E349" s="173">
        <f>'Rekapitulacija Posebni dio'!C177</f>
        <v>0</v>
      </c>
      <c r="F349" s="173">
        <f>'Rekapitulacija Posebni dio'!D177</f>
        <v>57475.26</v>
      </c>
      <c r="G349" s="173">
        <f>'Rekapitulacija Posebni dio'!E177</f>
        <v>45000</v>
      </c>
      <c r="H349" s="173">
        <f>'Rekapitulacija Posebni dio'!F177</f>
        <v>47000</v>
      </c>
      <c r="I349" s="173">
        <f>'Rekapitulacija Posebni dio'!G177</f>
        <v>49000</v>
      </c>
      <c r="J349" s="120"/>
      <c r="K349" s="120"/>
      <c r="L349" s="120"/>
      <c r="M349" s="120"/>
      <c r="N349" s="120"/>
      <c r="O349" s="120"/>
      <c r="P349" s="120"/>
    </row>
    <row r="350" spans="1:16" s="121" customFormat="1" x14ac:dyDescent="0.25">
      <c r="A350" s="190"/>
      <c r="B350" s="187">
        <v>42242</v>
      </c>
      <c r="C350" s="170"/>
      <c r="D350" s="266" t="s">
        <v>479</v>
      </c>
      <c r="E350" s="173">
        <f>'Rekapitulacija Posebni dio'!C178</f>
        <v>0</v>
      </c>
      <c r="F350" s="173">
        <f>'Rekapitulacija Posebni dio'!D178</f>
        <v>2250</v>
      </c>
      <c r="G350" s="173">
        <f>'Rekapitulacija Posebni dio'!E178</f>
        <v>1500</v>
      </c>
      <c r="H350" s="173">
        <f>'Rekapitulacija Posebni dio'!F178</f>
        <v>1600</v>
      </c>
      <c r="I350" s="173">
        <f>'Rekapitulacija Posebni dio'!G178</f>
        <v>1700</v>
      </c>
      <c r="J350" s="120"/>
      <c r="K350" s="120"/>
      <c r="L350" s="120"/>
      <c r="M350" s="120"/>
      <c r="N350" s="120"/>
      <c r="O350" s="120"/>
      <c r="P350" s="120"/>
    </row>
    <row r="351" spans="1:16" s="121" customFormat="1" x14ac:dyDescent="0.25">
      <c r="A351" s="190"/>
      <c r="B351" s="184">
        <v>4225</v>
      </c>
      <c r="C351" s="166"/>
      <c r="D351" s="265" t="s">
        <v>192</v>
      </c>
      <c r="E351" s="165">
        <f t="shared" ref="E351:I351" si="203">SUM(E352)</f>
        <v>7392.89</v>
      </c>
      <c r="F351" s="165">
        <f t="shared" si="203"/>
        <v>5354.57</v>
      </c>
      <c r="G351" s="165">
        <f t="shared" si="203"/>
        <v>5000</v>
      </c>
      <c r="H351" s="165">
        <f t="shared" si="203"/>
        <v>5150</v>
      </c>
      <c r="I351" s="165">
        <f t="shared" si="203"/>
        <v>5300</v>
      </c>
      <c r="J351" s="120"/>
      <c r="K351" s="120"/>
      <c r="L351" s="120"/>
      <c r="M351" s="120"/>
      <c r="N351" s="120"/>
      <c r="O351" s="120"/>
      <c r="P351" s="120"/>
    </row>
    <row r="352" spans="1:16" s="121" customFormat="1" x14ac:dyDescent="0.25">
      <c r="A352" s="190"/>
      <c r="B352" s="187">
        <v>42259</v>
      </c>
      <c r="C352" s="170"/>
      <c r="D352" s="266" t="s">
        <v>579</v>
      </c>
      <c r="E352" s="173">
        <f>'Rekapitulacija Posebni dio'!C180</f>
        <v>7392.89</v>
      </c>
      <c r="F352" s="173">
        <f>'Rekapitulacija Posebni dio'!D180</f>
        <v>5354.57</v>
      </c>
      <c r="G352" s="173">
        <f>'Rekapitulacija Posebni dio'!E180</f>
        <v>5000</v>
      </c>
      <c r="H352" s="173">
        <f>'Rekapitulacija Posebni dio'!F180</f>
        <v>5150</v>
      </c>
      <c r="I352" s="173">
        <f>'Rekapitulacija Posebni dio'!G180</f>
        <v>5300</v>
      </c>
      <c r="J352" s="120"/>
      <c r="K352" s="120"/>
      <c r="L352" s="120"/>
      <c r="M352" s="120"/>
      <c r="N352" s="120"/>
      <c r="O352" s="120"/>
      <c r="P352" s="120"/>
    </row>
    <row r="353" spans="1:16" s="121" customFormat="1" x14ac:dyDescent="0.25">
      <c r="A353" s="190"/>
      <c r="B353" s="184">
        <v>4227</v>
      </c>
      <c r="C353" s="166"/>
      <c r="D353" s="265" t="s">
        <v>193</v>
      </c>
      <c r="E353" s="165">
        <f t="shared" ref="E353:I353" si="204">SUM(E354)</f>
        <v>0</v>
      </c>
      <c r="F353" s="165">
        <f t="shared" si="204"/>
        <v>3981.68</v>
      </c>
      <c r="G353" s="165">
        <f t="shared" si="204"/>
        <v>2000</v>
      </c>
      <c r="H353" s="165">
        <f t="shared" si="204"/>
        <v>2200</v>
      </c>
      <c r="I353" s="165">
        <f t="shared" si="204"/>
        <v>2400</v>
      </c>
      <c r="J353" s="120"/>
      <c r="K353" s="120"/>
      <c r="L353" s="120"/>
      <c r="M353" s="120"/>
      <c r="N353" s="120"/>
      <c r="O353" s="120"/>
      <c r="P353" s="120"/>
    </row>
    <row r="354" spans="1:16" s="121" customFormat="1" x14ac:dyDescent="0.25">
      <c r="A354" s="190"/>
      <c r="B354" s="187">
        <v>42273</v>
      </c>
      <c r="C354" s="170"/>
      <c r="D354" s="266" t="s">
        <v>193</v>
      </c>
      <c r="E354" s="173">
        <f>'Rekapitulacija Posebni dio'!C182</f>
        <v>0</v>
      </c>
      <c r="F354" s="173">
        <f>'Rekapitulacija Posebni dio'!D182</f>
        <v>3981.68</v>
      </c>
      <c r="G354" s="173">
        <f>'Rekapitulacija Posebni dio'!E182</f>
        <v>2000</v>
      </c>
      <c r="H354" s="173">
        <f>'Rekapitulacija Posebni dio'!F182</f>
        <v>2200</v>
      </c>
      <c r="I354" s="173">
        <f>'Rekapitulacija Posebni dio'!G182</f>
        <v>2400</v>
      </c>
      <c r="J354" s="120"/>
      <c r="K354" s="120"/>
      <c r="L354" s="120"/>
      <c r="M354" s="120"/>
      <c r="N354" s="120"/>
      <c r="O354" s="120"/>
      <c r="P354" s="120"/>
    </row>
    <row r="355" spans="1:16" s="139" customFormat="1" x14ac:dyDescent="0.25">
      <c r="A355" s="167"/>
      <c r="B355" s="184">
        <v>423</v>
      </c>
      <c r="C355" s="166"/>
      <c r="D355" s="265" t="s">
        <v>194</v>
      </c>
      <c r="E355" s="165">
        <f t="shared" ref="E355:I355" si="205">E356</f>
        <v>0</v>
      </c>
      <c r="F355" s="165">
        <f t="shared" si="205"/>
        <v>6722.28</v>
      </c>
      <c r="G355" s="165">
        <f t="shared" si="205"/>
        <v>6722.28</v>
      </c>
      <c r="H355" s="165">
        <f t="shared" si="205"/>
        <v>6722.28</v>
      </c>
      <c r="I355" s="165">
        <f t="shared" si="205"/>
        <v>6722.28</v>
      </c>
      <c r="J355" s="138"/>
      <c r="K355" s="138"/>
      <c r="L355" s="138"/>
      <c r="M355" s="138"/>
      <c r="N355" s="138"/>
      <c r="O355" s="138"/>
      <c r="P355" s="138"/>
    </row>
    <row r="356" spans="1:16" s="139" customFormat="1" x14ac:dyDescent="0.25">
      <c r="A356" s="167"/>
      <c r="B356" s="184">
        <v>4231</v>
      </c>
      <c r="C356" s="166"/>
      <c r="D356" s="265" t="s">
        <v>194</v>
      </c>
      <c r="E356" s="165">
        <f t="shared" ref="E356:I356" si="206">SUM(E357)</f>
        <v>0</v>
      </c>
      <c r="F356" s="165">
        <f t="shared" si="206"/>
        <v>6722.28</v>
      </c>
      <c r="G356" s="165">
        <f t="shared" si="206"/>
        <v>6722.28</v>
      </c>
      <c r="H356" s="165">
        <f t="shared" si="206"/>
        <v>6722.28</v>
      </c>
      <c r="I356" s="165">
        <f t="shared" si="206"/>
        <v>6722.28</v>
      </c>
      <c r="J356" s="138"/>
      <c r="K356" s="138"/>
      <c r="L356" s="138"/>
      <c r="M356" s="138"/>
      <c r="N356" s="138"/>
      <c r="O356" s="138"/>
      <c r="P356" s="138"/>
    </row>
    <row r="357" spans="1:16" s="121" customFormat="1" x14ac:dyDescent="0.25">
      <c r="A357" s="190"/>
      <c r="B357" s="187">
        <v>42311</v>
      </c>
      <c r="C357" s="170"/>
      <c r="D357" s="266" t="s">
        <v>480</v>
      </c>
      <c r="E357" s="173">
        <f>'Rekapitulacija Posebni dio'!C185</f>
        <v>0</v>
      </c>
      <c r="F357" s="173">
        <f>'Rekapitulacija Posebni dio'!D185</f>
        <v>6722.28</v>
      </c>
      <c r="G357" s="173">
        <f>'Rekapitulacija Posebni dio'!E185</f>
        <v>6722.28</v>
      </c>
      <c r="H357" s="173">
        <f>'Rekapitulacija Posebni dio'!F185</f>
        <v>6722.28</v>
      </c>
      <c r="I357" s="173">
        <f>'Rekapitulacija Posebni dio'!G185</f>
        <v>6722.28</v>
      </c>
      <c r="J357" s="120"/>
      <c r="K357" s="120"/>
      <c r="L357" s="120"/>
      <c r="M357" s="120"/>
      <c r="N357" s="120"/>
      <c r="O357" s="120"/>
      <c r="P357" s="120"/>
    </row>
    <row r="358" spans="1:16" s="139" customFormat="1" x14ac:dyDescent="0.25">
      <c r="A358" s="167"/>
      <c r="B358" s="184">
        <v>426</v>
      </c>
      <c r="C358" s="166"/>
      <c r="D358" s="265" t="s">
        <v>195</v>
      </c>
      <c r="E358" s="165">
        <f t="shared" ref="E358:I358" si="207">E359</f>
        <v>0</v>
      </c>
      <c r="F358" s="165">
        <f t="shared" si="207"/>
        <v>0</v>
      </c>
      <c r="G358" s="165">
        <f t="shared" si="207"/>
        <v>0</v>
      </c>
      <c r="H358" s="165">
        <f t="shared" si="207"/>
        <v>0</v>
      </c>
      <c r="I358" s="165">
        <f t="shared" si="207"/>
        <v>0</v>
      </c>
      <c r="J358" s="138"/>
      <c r="K358" s="138"/>
      <c r="L358" s="138"/>
      <c r="M358" s="138"/>
      <c r="N358" s="138"/>
      <c r="O358" s="138"/>
      <c r="P358" s="138"/>
    </row>
    <row r="359" spans="1:16" s="121" customFormat="1" x14ac:dyDescent="0.25">
      <c r="A359" s="190"/>
      <c r="B359" s="184">
        <v>4262</v>
      </c>
      <c r="C359" s="166"/>
      <c r="D359" s="265" t="s">
        <v>196</v>
      </c>
      <c r="E359" s="173"/>
      <c r="F359" s="173"/>
      <c r="G359" s="173"/>
      <c r="H359" s="173"/>
      <c r="I359" s="173"/>
      <c r="J359" s="120"/>
      <c r="K359" s="120"/>
      <c r="L359" s="120"/>
      <c r="M359" s="120"/>
      <c r="N359" s="120"/>
      <c r="O359" s="120"/>
      <c r="P359" s="120"/>
    </row>
    <row r="360" spans="1:16" s="121" customFormat="1" x14ac:dyDescent="0.25">
      <c r="A360" s="190"/>
      <c r="B360" s="141" t="s">
        <v>197</v>
      </c>
      <c r="C360" s="215"/>
      <c r="D360" s="262" t="s">
        <v>200</v>
      </c>
      <c r="E360" s="178">
        <f t="shared" ref="E360" si="208">E361+E364</f>
        <v>13603.14</v>
      </c>
      <c r="F360" s="178">
        <f t="shared" ref="F360:I360" si="209">F361+F364</f>
        <v>23183.82</v>
      </c>
      <c r="G360" s="178">
        <f t="shared" si="209"/>
        <v>10000</v>
      </c>
      <c r="H360" s="178">
        <f t="shared" si="209"/>
        <v>10000</v>
      </c>
      <c r="I360" s="178">
        <f t="shared" si="209"/>
        <v>10000</v>
      </c>
      <c r="J360" s="120"/>
      <c r="K360" s="120"/>
      <c r="L360" s="120"/>
      <c r="M360" s="120"/>
      <c r="N360" s="120"/>
      <c r="O360" s="120"/>
      <c r="P360" s="120"/>
    </row>
    <row r="361" spans="1:16" s="121" customFormat="1" x14ac:dyDescent="0.25">
      <c r="A361" s="190"/>
      <c r="B361" s="162" t="s">
        <v>199</v>
      </c>
      <c r="C361" s="234"/>
      <c r="D361" s="202" t="s">
        <v>208</v>
      </c>
      <c r="E361" s="165">
        <f t="shared" ref="E361:I362" si="210">SUM(E362)</f>
        <v>13603.14</v>
      </c>
      <c r="F361" s="165">
        <f t="shared" si="210"/>
        <v>23183.82</v>
      </c>
      <c r="G361" s="165">
        <f t="shared" si="210"/>
        <v>10000</v>
      </c>
      <c r="H361" s="165">
        <f t="shared" si="210"/>
        <v>10000</v>
      </c>
      <c r="I361" s="165">
        <f t="shared" si="210"/>
        <v>10000</v>
      </c>
      <c r="J361" s="120"/>
      <c r="K361" s="120"/>
      <c r="L361" s="120"/>
      <c r="M361" s="120"/>
      <c r="N361" s="120"/>
      <c r="O361" s="120"/>
      <c r="P361" s="120"/>
    </row>
    <row r="362" spans="1:16" s="121" customFormat="1" x14ac:dyDescent="0.25">
      <c r="A362" s="190"/>
      <c r="B362" s="162" t="s">
        <v>201</v>
      </c>
      <c r="C362" s="202"/>
      <c r="D362" s="202" t="s">
        <v>200</v>
      </c>
      <c r="E362" s="165">
        <f t="shared" si="210"/>
        <v>13603.14</v>
      </c>
      <c r="F362" s="165">
        <f t="shared" si="210"/>
        <v>23183.82</v>
      </c>
      <c r="G362" s="165">
        <f t="shared" si="210"/>
        <v>10000</v>
      </c>
      <c r="H362" s="165">
        <f t="shared" si="210"/>
        <v>10000</v>
      </c>
      <c r="I362" s="165">
        <f t="shared" si="210"/>
        <v>10000</v>
      </c>
      <c r="J362" s="120"/>
      <c r="K362" s="120"/>
      <c r="L362" s="120"/>
      <c r="M362" s="120"/>
      <c r="N362" s="120"/>
      <c r="O362" s="120"/>
      <c r="P362" s="120"/>
    </row>
    <row r="363" spans="1:16" s="121" customFormat="1" x14ac:dyDescent="0.25">
      <c r="A363" s="190"/>
      <c r="B363" s="235" t="s">
        <v>523</v>
      </c>
      <c r="C363" s="234"/>
      <c r="D363" s="234" t="s">
        <v>200</v>
      </c>
      <c r="E363" s="173">
        <f>'Rekapitulacija Posebni dio'!C191</f>
        <v>13603.14</v>
      </c>
      <c r="F363" s="173">
        <f>'Rekapitulacija Posebni dio'!D191</f>
        <v>23183.82</v>
      </c>
      <c r="G363" s="173">
        <f>'Rekapitulacija Posebni dio'!E191</f>
        <v>10000</v>
      </c>
      <c r="H363" s="173">
        <f>'Rekapitulacija Posebni dio'!F191</f>
        <v>10000</v>
      </c>
      <c r="I363" s="173">
        <f>'Rekapitulacija Posebni dio'!G191</f>
        <v>10000</v>
      </c>
      <c r="J363" s="120"/>
      <c r="K363" s="120"/>
      <c r="L363" s="120"/>
      <c r="M363" s="120"/>
      <c r="N363" s="120"/>
      <c r="O363" s="120"/>
      <c r="P363" s="120"/>
    </row>
    <row r="364" spans="1:16" s="121" customFormat="1" x14ac:dyDescent="0.25">
      <c r="A364" s="190"/>
      <c r="B364" s="162" t="s">
        <v>202</v>
      </c>
      <c r="C364" s="202"/>
      <c r="D364" s="202" t="s">
        <v>203</v>
      </c>
      <c r="E364" s="165">
        <f t="shared" ref="E364:I364" si="211">E365</f>
        <v>0</v>
      </c>
      <c r="F364" s="165">
        <f t="shared" si="211"/>
        <v>0</v>
      </c>
      <c r="G364" s="165">
        <f t="shared" si="211"/>
        <v>0</v>
      </c>
      <c r="H364" s="165">
        <f t="shared" si="211"/>
        <v>0</v>
      </c>
      <c r="I364" s="165">
        <f t="shared" si="211"/>
        <v>0</v>
      </c>
      <c r="J364" s="120"/>
      <c r="K364" s="120"/>
      <c r="L364" s="120"/>
      <c r="M364" s="120"/>
      <c r="N364" s="120"/>
      <c r="O364" s="120"/>
      <c r="P364" s="120"/>
    </row>
    <row r="365" spans="1:16" s="121" customFormat="1" x14ac:dyDescent="0.25">
      <c r="A365" s="167"/>
      <c r="B365" s="162" t="s">
        <v>204</v>
      </c>
      <c r="C365" s="202"/>
      <c r="D365" s="202" t="s">
        <v>205</v>
      </c>
      <c r="E365" s="173"/>
      <c r="F365" s="173"/>
      <c r="G365" s="173"/>
      <c r="H365" s="173"/>
      <c r="I365" s="173"/>
      <c r="J365" s="120"/>
      <c r="K365" s="120"/>
      <c r="L365" s="120"/>
      <c r="M365" s="120"/>
      <c r="N365" s="120"/>
      <c r="O365" s="120"/>
      <c r="P365" s="120"/>
    </row>
    <row r="366" spans="1:16" s="121" customFormat="1" x14ac:dyDescent="0.25">
      <c r="A366" s="267"/>
      <c r="B366" s="268"/>
      <c r="C366" s="156">
        <v>43</v>
      </c>
      <c r="D366" s="157" t="s">
        <v>56</v>
      </c>
      <c r="E366" s="269">
        <f t="shared" ref="E366" si="212">E332+E181</f>
        <v>4777402.2700000005</v>
      </c>
      <c r="F366" s="269">
        <f t="shared" ref="F366:I366" si="213">F332+F181</f>
        <v>3705637.47</v>
      </c>
      <c r="G366" s="269">
        <f t="shared" si="213"/>
        <v>4915694.05</v>
      </c>
      <c r="H366" s="269">
        <f t="shared" si="213"/>
        <v>5005105.41</v>
      </c>
      <c r="I366" s="269">
        <f t="shared" si="213"/>
        <v>5094606.49</v>
      </c>
      <c r="J366" s="120"/>
      <c r="K366" s="120"/>
      <c r="L366" s="120"/>
      <c r="M366" s="120"/>
      <c r="N366" s="120"/>
      <c r="O366" s="120"/>
      <c r="P366" s="120"/>
    </row>
    <row r="367" spans="1:16" x14ac:dyDescent="0.25">
      <c r="A367" s="229" t="s">
        <v>87</v>
      </c>
      <c r="B367" s="229"/>
      <c r="C367" s="230"/>
      <c r="D367" s="231" t="s">
        <v>88</v>
      </c>
      <c r="E367" s="289">
        <f t="shared" ref="E367" si="214">E368+E382</f>
        <v>34437.620000000003</v>
      </c>
      <c r="F367" s="289">
        <f>F368+F382</f>
        <v>128013.94999999998</v>
      </c>
      <c r="G367" s="289">
        <f t="shared" ref="G367:I367" si="215">G368+G382</f>
        <v>230923.83000000002</v>
      </c>
      <c r="H367" s="289">
        <f t="shared" si="215"/>
        <v>216923.83000000002</v>
      </c>
      <c r="I367" s="289">
        <f t="shared" si="215"/>
        <v>171224.49</v>
      </c>
    </row>
    <row r="368" spans="1:16" x14ac:dyDescent="0.25">
      <c r="A368" s="202"/>
      <c r="B368" s="141">
        <v>31</v>
      </c>
      <c r="C368" s="215"/>
      <c r="D368" s="233" t="s">
        <v>89</v>
      </c>
      <c r="E368" s="144">
        <f t="shared" ref="E368:I368" si="216">E369+E375+E379</f>
        <v>32519.7</v>
      </c>
      <c r="F368" s="144">
        <f t="shared" si="216"/>
        <v>107973.12999999999</v>
      </c>
      <c r="G368" s="144">
        <f t="shared" si="216"/>
        <v>191319.51</v>
      </c>
      <c r="H368" s="144">
        <f t="shared" si="216"/>
        <v>186119.51</v>
      </c>
      <c r="I368" s="144">
        <f t="shared" si="216"/>
        <v>151660.99</v>
      </c>
    </row>
    <row r="369" spans="1:9" x14ac:dyDescent="0.25">
      <c r="A369" s="202"/>
      <c r="B369" s="162">
        <v>311</v>
      </c>
      <c r="C369" s="234"/>
      <c r="D369" s="202" t="s">
        <v>90</v>
      </c>
      <c r="E369" s="240">
        <f t="shared" ref="E369:I369" si="217">E370+E373</f>
        <v>31919.7</v>
      </c>
      <c r="F369" s="240">
        <f>F370+F373</f>
        <v>92562.84</v>
      </c>
      <c r="G369" s="240">
        <f t="shared" si="217"/>
        <v>160988.07</v>
      </c>
      <c r="H369" s="240">
        <f t="shared" si="217"/>
        <v>155788.07</v>
      </c>
      <c r="I369" s="240">
        <f t="shared" si="217"/>
        <v>127064.38</v>
      </c>
    </row>
    <row r="370" spans="1:9" x14ac:dyDescent="0.25">
      <c r="A370" s="202"/>
      <c r="B370" s="162">
        <v>3111</v>
      </c>
      <c r="C370" s="202"/>
      <c r="D370" s="202" t="s">
        <v>91</v>
      </c>
      <c r="E370" s="240">
        <f t="shared" ref="E370:I370" si="218">SUM(E371)</f>
        <v>31919.7</v>
      </c>
      <c r="F370" s="240">
        <f t="shared" si="218"/>
        <v>92562.84</v>
      </c>
      <c r="G370" s="240">
        <f t="shared" si="218"/>
        <v>160988.07</v>
      </c>
      <c r="H370" s="240">
        <f t="shared" si="218"/>
        <v>155788.07</v>
      </c>
      <c r="I370" s="240">
        <f t="shared" si="218"/>
        <v>127064.38</v>
      </c>
    </row>
    <row r="371" spans="1:9" x14ac:dyDescent="0.25">
      <c r="A371" s="202"/>
      <c r="B371" s="235" t="s">
        <v>494</v>
      </c>
      <c r="C371" s="234"/>
      <c r="D371" s="234" t="s">
        <v>91</v>
      </c>
      <c r="E371" s="241">
        <f>'Rekapitulacija Posebni dio'!C300+'Rekapitulacija Posebni dio'!C553+'Rekapitulacija Posebni dio'!C582+'Rekapitulacija Posebni dio'!C613</f>
        <v>31919.7</v>
      </c>
      <c r="F371" s="241">
        <f>'Rekapitulacija Posebni dio'!D300+'Rekapitulacija Posebni dio'!D553+'Rekapitulacija Posebni dio'!D582+'Rekapitulacija Posebni dio'!D613</f>
        <v>92562.84</v>
      </c>
      <c r="G371" s="241">
        <f>'Rekapitulacija Posebni dio'!E300+'Rekapitulacija Posebni dio'!E553+'Rekapitulacija Posebni dio'!E582+'Rekapitulacija Posebni dio'!E613</f>
        <v>160988.07</v>
      </c>
      <c r="H371" s="241">
        <f>'Rekapitulacija Posebni dio'!F300+'Rekapitulacija Posebni dio'!F553+'Rekapitulacija Posebni dio'!F582+'Rekapitulacija Posebni dio'!F613</f>
        <v>155788.07</v>
      </c>
      <c r="I371" s="241">
        <f>'Rekapitulacija Posebni dio'!G300+'Rekapitulacija Posebni dio'!G553+'Rekapitulacija Posebni dio'!G582+'Rekapitulacija Posebni dio'!G613</f>
        <v>127064.38</v>
      </c>
    </row>
    <row r="372" spans="1:9" x14ac:dyDescent="0.25">
      <c r="A372" s="202"/>
      <c r="B372" s="235" t="s">
        <v>94</v>
      </c>
      <c r="C372" s="234"/>
      <c r="D372" s="234" t="s">
        <v>95</v>
      </c>
      <c r="E372" s="241"/>
      <c r="F372" s="241"/>
      <c r="G372" s="241"/>
      <c r="H372" s="241"/>
      <c r="I372" s="241"/>
    </row>
    <row r="373" spans="1:9" x14ac:dyDescent="0.25">
      <c r="A373" s="202"/>
      <c r="B373" s="162" t="s">
        <v>96</v>
      </c>
      <c r="C373" s="202"/>
      <c r="D373" s="202" t="s">
        <v>212</v>
      </c>
      <c r="E373" s="240">
        <f t="shared" ref="E373:I373" si="219">SUM(E374)</f>
        <v>0</v>
      </c>
      <c r="F373" s="240">
        <f t="shared" si="219"/>
        <v>0</v>
      </c>
      <c r="G373" s="240">
        <f t="shared" si="219"/>
        <v>0</v>
      </c>
      <c r="H373" s="240">
        <f t="shared" si="219"/>
        <v>0</v>
      </c>
      <c r="I373" s="240">
        <f t="shared" si="219"/>
        <v>0</v>
      </c>
    </row>
    <row r="374" spans="1:9" x14ac:dyDescent="0.25">
      <c r="A374" s="202"/>
      <c r="B374" s="235" t="s">
        <v>497</v>
      </c>
      <c r="C374" s="234"/>
      <c r="D374" s="234" t="s">
        <v>212</v>
      </c>
      <c r="E374" s="241">
        <v>0</v>
      </c>
      <c r="F374" s="241">
        <v>0</v>
      </c>
      <c r="G374" s="241">
        <v>0</v>
      </c>
      <c r="H374" s="241">
        <v>0</v>
      </c>
      <c r="I374" s="241">
        <v>0</v>
      </c>
    </row>
    <row r="375" spans="1:9" x14ac:dyDescent="0.25">
      <c r="A375" s="202"/>
      <c r="B375" s="162" t="s">
        <v>98</v>
      </c>
      <c r="C375" s="202"/>
      <c r="D375" s="202" t="s">
        <v>99</v>
      </c>
      <c r="E375" s="240">
        <f t="shared" ref="E375:I375" si="220">E376</f>
        <v>600</v>
      </c>
      <c r="F375" s="240">
        <f t="shared" si="220"/>
        <v>995.42</v>
      </c>
      <c r="G375" s="240">
        <f t="shared" si="220"/>
        <v>2395.42</v>
      </c>
      <c r="H375" s="240">
        <f t="shared" si="220"/>
        <v>2395.42</v>
      </c>
      <c r="I375" s="240">
        <f t="shared" si="220"/>
        <v>1400</v>
      </c>
    </row>
    <row r="376" spans="1:9" x14ac:dyDescent="0.25">
      <c r="A376" s="202"/>
      <c r="B376" s="162" t="s">
        <v>100</v>
      </c>
      <c r="C376" s="202"/>
      <c r="D376" s="202" t="s">
        <v>99</v>
      </c>
      <c r="E376" s="240">
        <f t="shared" ref="E376" si="221">SUM(E377:E378)</f>
        <v>600</v>
      </c>
      <c r="F376" s="240">
        <f t="shared" ref="F376:I376" si="222">SUM(F377:F378)</f>
        <v>995.42</v>
      </c>
      <c r="G376" s="240">
        <f t="shared" si="222"/>
        <v>2395.42</v>
      </c>
      <c r="H376" s="240">
        <f t="shared" si="222"/>
        <v>2395.42</v>
      </c>
      <c r="I376" s="240">
        <f t="shared" si="222"/>
        <v>1400</v>
      </c>
    </row>
    <row r="377" spans="1:9" x14ac:dyDescent="0.25">
      <c r="A377" s="202"/>
      <c r="B377" s="235" t="s">
        <v>502</v>
      </c>
      <c r="C377" s="234"/>
      <c r="D377" s="234" t="s">
        <v>415</v>
      </c>
      <c r="E377" s="241">
        <f>'Rekapitulacija Posebni dio'!C556+'Rekapitulacija Posebni dio'!C585</f>
        <v>300</v>
      </c>
      <c r="F377" s="241">
        <f>'Rekapitulacija Posebni dio'!D556+'Rekapitulacija Posebni dio'!D585</f>
        <v>300</v>
      </c>
      <c r="G377" s="241">
        <f>'Rekapitulacija Posebni dio'!E556+'Rekapitulacija Posebni dio'!E585</f>
        <v>900</v>
      </c>
      <c r="H377" s="241">
        <f>'Rekapitulacija Posebni dio'!F556+'Rekapitulacija Posebni dio'!F585</f>
        <v>900</v>
      </c>
      <c r="I377" s="241">
        <f>'Rekapitulacija Posebni dio'!G556+'Rekapitulacija Posebni dio'!G585</f>
        <v>600</v>
      </c>
    </row>
    <row r="378" spans="1:9" x14ac:dyDescent="0.25">
      <c r="A378" s="202"/>
      <c r="B378" s="235" t="s">
        <v>503</v>
      </c>
      <c r="C378" s="234"/>
      <c r="D378" s="234" t="s">
        <v>410</v>
      </c>
      <c r="E378" s="241">
        <f>'Rekapitulacija Posebni dio'!C557+'Rekapitulacija Posebni dio'!C586</f>
        <v>300</v>
      </c>
      <c r="F378" s="241">
        <f>'Rekapitulacija Posebni dio'!D557+'Rekapitulacija Posebni dio'!D586</f>
        <v>695.42</v>
      </c>
      <c r="G378" s="241">
        <f>'Rekapitulacija Posebni dio'!E557+'Rekapitulacija Posebni dio'!E586</f>
        <v>1495.42</v>
      </c>
      <c r="H378" s="241">
        <f>'Rekapitulacija Posebni dio'!F557+'Rekapitulacija Posebni dio'!F586</f>
        <v>1495.42</v>
      </c>
      <c r="I378" s="241">
        <f>'Rekapitulacija Posebni dio'!G557+'Rekapitulacija Posebni dio'!G586</f>
        <v>800</v>
      </c>
    </row>
    <row r="379" spans="1:9" x14ac:dyDescent="0.25">
      <c r="A379" s="202"/>
      <c r="B379" s="162" t="s">
        <v>213</v>
      </c>
      <c r="C379" s="202"/>
      <c r="D379" s="202" t="s">
        <v>101</v>
      </c>
      <c r="E379" s="292">
        <f t="shared" ref="E379:I380" si="223">SUM(E380)</f>
        <v>0</v>
      </c>
      <c r="F379" s="292">
        <f t="shared" si="223"/>
        <v>14414.869999999999</v>
      </c>
      <c r="G379" s="292">
        <f t="shared" si="223"/>
        <v>27936.019999999997</v>
      </c>
      <c r="H379" s="292">
        <f t="shared" si="223"/>
        <v>27936.019999999997</v>
      </c>
      <c r="I379" s="292">
        <f t="shared" si="223"/>
        <v>23196.61</v>
      </c>
    </row>
    <row r="380" spans="1:9" x14ac:dyDescent="0.25">
      <c r="A380" s="202"/>
      <c r="B380" s="162" t="s">
        <v>214</v>
      </c>
      <c r="C380" s="202"/>
      <c r="D380" s="202" t="s">
        <v>215</v>
      </c>
      <c r="E380" s="292">
        <f t="shared" si="223"/>
        <v>0</v>
      </c>
      <c r="F380" s="292">
        <f t="shared" si="223"/>
        <v>14414.869999999999</v>
      </c>
      <c r="G380" s="292">
        <f t="shared" si="223"/>
        <v>27936.019999999997</v>
      </c>
      <c r="H380" s="292">
        <f t="shared" si="223"/>
        <v>27936.019999999997</v>
      </c>
      <c r="I380" s="292">
        <f t="shared" si="223"/>
        <v>23196.61</v>
      </c>
    </row>
    <row r="381" spans="1:9" x14ac:dyDescent="0.25">
      <c r="A381" s="202"/>
      <c r="B381" s="235" t="s">
        <v>504</v>
      </c>
      <c r="C381" s="234"/>
      <c r="D381" s="234" t="s">
        <v>215</v>
      </c>
      <c r="E381" s="241">
        <f>'Rekapitulacija Posebni dio'!C307+'Rekapitulacija Posebni dio'!C560+'Rekapitulacija Posebni dio'!C589</f>
        <v>0</v>
      </c>
      <c r="F381" s="241">
        <f>'Rekapitulacija Posebni dio'!D307+'Rekapitulacija Posebni dio'!D560+'Rekapitulacija Posebni dio'!D589</f>
        <v>14414.869999999999</v>
      </c>
      <c r="G381" s="241">
        <f>'Rekapitulacija Posebni dio'!E307+'Rekapitulacija Posebni dio'!E560+'Rekapitulacija Posebni dio'!E589</f>
        <v>27936.019999999997</v>
      </c>
      <c r="H381" s="241">
        <f>'Rekapitulacija Posebni dio'!F307+'Rekapitulacija Posebni dio'!F560+'Rekapitulacija Posebni dio'!F589</f>
        <v>27936.019999999997</v>
      </c>
      <c r="I381" s="241">
        <f>'Rekapitulacija Posebni dio'!G307+'Rekapitulacija Posebni dio'!G560+'Rekapitulacija Posebni dio'!G589</f>
        <v>23196.61</v>
      </c>
    </row>
    <row r="382" spans="1:9" x14ac:dyDescent="0.25">
      <c r="A382" s="202"/>
      <c r="B382" s="141">
        <v>32</v>
      </c>
      <c r="C382" s="215"/>
      <c r="D382" s="233" t="s">
        <v>103</v>
      </c>
      <c r="E382" s="293">
        <f>E383+E392+E400+E412</f>
        <v>1917.92</v>
      </c>
      <c r="F382" s="293">
        <f>F383+F392+F400+F412</f>
        <v>20040.82</v>
      </c>
      <c r="G382" s="293">
        <f t="shared" ref="G382:I382" si="224">G383+G392+G400+G412</f>
        <v>39604.32</v>
      </c>
      <c r="H382" s="293">
        <f t="shared" si="224"/>
        <v>30804.32</v>
      </c>
      <c r="I382" s="293">
        <f t="shared" si="224"/>
        <v>19563.5</v>
      </c>
    </row>
    <row r="383" spans="1:9" x14ac:dyDescent="0.25">
      <c r="A383" s="202"/>
      <c r="B383" s="162" t="s">
        <v>216</v>
      </c>
      <c r="C383" s="202"/>
      <c r="D383" s="256" t="s">
        <v>104</v>
      </c>
      <c r="E383" s="292">
        <f>E384+E388+E390</f>
        <v>399.67</v>
      </c>
      <c r="F383" s="292">
        <f>F384+F388+F390</f>
        <v>13280.64</v>
      </c>
      <c r="G383" s="292">
        <f t="shared" ref="G383:I383" si="225">G384+G388+G390</f>
        <v>30922.639999999999</v>
      </c>
      <c r="H383" s="292">
        <f t="shared" si="225"/>
        <v>27922.639999999999</v>
      </c>
      <c r="I383" s="292">
        <f t="shared" si="225"/>
        <v>17642</v>
      </c>
    </row>
    <row r="384" spans="1:9" x14ac:dyDescent="0.25">
      <c r="A384" s="202"/>
      <c r="B384" s="162" t="s">
        <v>105</v>
      </c>
      <c r="C384" s="202"/>
      <c r="D384" s="256" t="s">
        <v>106</v>
      </c>
      <c r="E384" s="292">
        <f>E385+E386+E387</f>
        <v>0</v>
      </c>
      <c r="F384" s="292">
        <f t="shared" ref="F384:I384" si="226">F385+F386+F387</f>
        <v>5316.17</v>
      </c>
      <c r="G384" s="292">
        <f t="shared" si="226"/>
        <v>12716.17</v>
      </c>
      <c r="H384" s="292">
        <f t="shared" si="226"/>
        <v>11116.17</v>
      </c>
      <c r="I384" s="292">
        <f t="shared" si="226"/>
        <v>7400</v>
      </c>
    </row>
    <row r="385" spans="1:9" x14ac:dyDescent="0.25">
      <c r="A385" s="202"/>
      <c r="B385" s="235" t="s">
        <v>535</v>
      </c>
      <c r="C385" s="202"/>
      <c r="D385" s="257" t="s">
        <v>416</v>
      </c>
      <c r="E385" s="291">
        <f>'Rekapitulacija Posebni dio'!C564+'Rekapitulacija Posebni dio'!C593+'Rekapitulacija Posebni dio'!C624</f>
        <v>0</v>
      </c>
      <c r="F385" s="291">
        <f>'Rekapitulacija Posebni dio'!D564+'Rekapitulacija Posebni dio'!D593+'Rekapitulacija Posebni dio'!D624</f>
        <v>4316.17</v>
      </c>
      <c r="G385" s="291">
        <f>'Rekapitulacija Posebni dio'!E564+'Rekapitulacija Posebni dio'!E593+'Rekapitulacija Posebni dio'!E624</f>
        <v>5216.17</v>
      </c>
      <c r="H385" s="291">
        <f>'Rekapitulacija Posebni dio'!F564+'Rekapitulacija Posebni dio'!F593+'Rekapitulacija Posebni dio'!F624</f>
        <v>4616.17</v>
      </c>
      <c r="I385" s="291">
        <f>'Rekapitulacija Posebni dio'!G564+'Rekapitulacija Posebni dio'!G593+'Rekapitulacija Posebni dio'!G624</f>
        <v>900</v>
      </c>
    </row>
    <row r="386" spans="1:9" x14ac:dyDescent="0.25">
      <c r="A386" s="202"/>
      <c r="B386" s="235" t="s">
        <v>542</v>
      </c>
      <c r="C386" s="202"/>
      <c r="D386" s="257" t="s">
        <v>418</v>
      </c>
      <c r="E386" s="291">
        <f>'Rekapitulacija Posebni dio'!C594+'Rekapitulacija Posebni dio'!C625</f>
        <v>0</v>
      </c>
      <c r="F386" s="291">
        <f>'Rekapitulacija Posebni dio'!D594+'Rekapitulacija Posebni dio'!D625</f>
        <v>600</v>
      </c>
      <c r="G386" s="291">
        <f>'Rekapitulacija Posebni dio'!E594+'Rekapitulacija Posebni dio'!E625</f>
        <v>5100</v>
      </c>
      <c r="H386" s="291">
        <f>'Rekapitulacija Posebni dio'!F594+'Rekapitulacija Posebni dio'!F625</f>
        <v>4500</v>
      </c>
      <c r="I386" s="291">
        <f>'Rekapitulacija Posebni dio'!G594+'Rekapitulacija Posebni dio'!G625</f>
        <v>4500</v>
      </c>
    </row>
    <row r="387" spans="1:9" x14ac:dyDescent="0.25">
      <c r="A387" s="202"/>
      <c r="B387" s="235" t="s">
        <v>524</v>
      </c>
      <c r="C387" s="202"/>
      <c r="D387" s="257" t="s">
        <v>419</v>
      </c>
      <c r="E387" s="291">
        <f>'Rekapitulacija Posebni dio'!C595+'Rekapitulacija Posebni dio'!C626</f>
        <v>0</v>
      </c>
      <c r="F387" s="291">
        <f>'Rekapitulacija Posebni dio'!D595+'Rekapitulacija Posebni dio'!D626</f>
        <v>400</v>
      </c>
      <c r="G387" s="291">
        <f>'Rekapitulacija Posebni dio'!E595+'Rekapitulacija Posebni dio'!E626</f>
        <v>2400</v>
      </c>
      <c r="H387" s="291">
        <f>'Rekapitulacija Posebni dio'!F595+'Rekapitulacija Posebni dio'!F626</f>
        <v>2000</v>
      </c>
      <c r="I387" s="291">
        <f>'Rekapitulacija Posebni dio'!G595+'Rekapitulacija Posebni dio'!G626</f>
        <v>2000</v>
      </c>
    </row>
    <row r="388" spans="1:9" x14ac:dyDescent="0.25">
      <c r="A388" s="202"/>
      <c r="B388" s="162" t="s">
        <v>107</v>
      </c>
      <c r="C388" s="202"/>
      <c r="D388" s="256" t="s">
        <v>108</v>
      </c>
      <c r="E388" s="292">
        <f t="shared" ref="E388:I388" si="227">SUM(E389)</f>
        <v>399.67</v>
      </c>
      <c r="F388" s="292">
        <f>SUM(F389)</f>
        <v>5305.43</v>
      </c>
      <c r="G388" s="292">
        <f t="shared" si="227"/>
        <v>11305.43</v>
      </c>
      <c r="H388" s="292">
        <f t="shared" si="227"/>
        <v>10905.43</v>
      </c>
      <c r="I388" s="292">
        <f t="shared" si="227"/>
        <v>6000</v>
      </c>
    </row>
    <row r="389" spans="1:9" x14ac:dyDescent="0.25">
      <c r="A389" s="234"/>
      <c r="B389" s="235" t="s">
        <v>505</v>
      </c>
      <c r="C389" s="234"/>
      <c r="D389" s="257" t="s">
        <v>108</v>
      </c>
      <c r="E389" s="291">
        <f>'Rekapitulacija Posebni dio'!C566+'Rekapitulacija Posebni dio'!C597+'Rekapitulacija Posebni dio'!C628</f>
        <v>399.67</v>
      </c>
      <c r="F389" s="291">
        <f>'Rekapitulacija Posebni dio'!D566+'Rekapitulacija Posebni dio'!D597+'Rekapitulacija Posebni dio'!D628</f>
        <v>5305.43</v>
      </c>
      <c r="G389" s="291">
        <f>'Rekapitulacija Posebni dio'!E566+'Rekapitulacija Posebni dio'!E597+'Rekapitulacija Posebni dio'!E628</f>
        <v>11305.43</v>
      </c>
      <c r="H389" s="291">
        <f>'Rekapitulacija Posebni dio'!F566+'Rekapitulacija Posebni dio'!F597+'Rekapitulacija Posebni dio'!F628</f>
        <v>10905.43</v>
      </c>
      <c r="I389" s="291">
        <f>'Rekapitulacija Posebni dio'!G566+'Rekapitulacija Posebni dio'!G597+'Rekapitulacija Posebni dio'!G628</f>
        <v>6000</v>
      </c>
    </row>
    <row r="390" spans="1:9" x14ac:dyDescent="0.25">
      <c r="A390" s="234"/>
      <c r="B390" s="162" t="s">
        <v>109</v>
      </c>
      <c r="C390" s="202"/>
      <c r="D390" s="256" t="s">
        <v>110</v>
      </c>
      <c r="E390" s="292">
        <f>SUM(E391)</f>
        <v>0</v>
      </c>
      <c r="F390" s="292">
        <f t="shared" ref="F390:I390" si="228">SUM(F391)</f>
        <v>2659.04</v>
      </c>
      <c r="G390" s="292">
        <f t="shared" si="228"/>
        <v>6901.04</v>
      </c>
      <c r="H390" s="292">
        <f t="shared" si="228"/>
        <v>5901.04</v>
      </c>
      <c r="I390" s="292">
        <f t="shared" si="228"/>
        <v>4242</v>
      </c>
    </row>
    <row r="391" spans="1:9" x14ac:dyDescent="0.25">
      <c r="A391" s="234"/>
      <c r="B391" s="235" t="s">
        <v>525</v>
      </c>
      <c r="C391" s="234"/>
      <c r="D391" s="257" t="s">
        <v>421</v>
      </c>
      <c r="E391" s="291">
        <f>'Rekapitulacija Posebni dio'!C568+'Rekapitulacija Posebni dio'!C599+'Rekapitulacija Posebni dio'!C630</f>
        <v>0</v>
      </c>
      <c r="F391" s="291">
        <f>'Rekapitulacija Posebni dio'!D568+'Rekapitulacija Posebni dio'!D599+'Rekapitulacija Posebni dio'!D630</f>
        <v>2659.04</v>
      </c>
      <c r="G391" s="291">
        <f>'Rekapitulacija Posebni dio'!E568+'Rekapitulacija Posebni dio'!E599+'Rekapitulacija Posebni dio'!E630</f>
        <v>6901.04</v>
      </c>
      <c r="H391" s="291">
        <f>'Rekapitulacija Posebni dio'!F568+'Rekapitulacija Posebni dio'!F599+'Rekapitulacija Posebni dio'!F630</f>
        <v>5901.04</v>
      </c>
      <c r="I391" s="291">
        <f>'Rekapitulacija Posebni dio'!G568+'Rekapitulacija Posebni dio'!G599+'Rekapitulacija Posebni dio'!G630</f>
        <v>4242</v>
      </c>
    </row>
    <row r="392" spans="1:9" x14ac:dyDescent="0.25">
      <c r="A392" s="202"/>
      <c r="B392" s="162" t="s">
        <v>113</v>
      </c>
      <c r="C392" s="202"/>
      <c r="D392" s="202" t="s">
        <v>114</v>
      </c>
      <c r="E392" s="240">
        <f t="shared" ref="E392:I392" si="229">E393+E396+E397+E399</f>
        <v>0</v>
      </c>
      <c r="F392" s="240">
        <f>F393+F396+F397+F399</f>
        <v>2500</v>
      </c>
      <c r="G392" s="240">
        <f t="shared" si="229"/>
        <v>2500</v>
      </c>
      <c r="H392" s="240">
        <f t="shared" si="229"/>
        <v>0</v>
      </c>
      <c r="I392" s="240">
        <f t="shared" si="229"/>
        <v>0</v>
      </c>
    </row>
    <row r="393" spans="1:9" x14ac:dyDescent="0.25">
      <c r="A393" s="234"/>
      <c r="B393" s="162" t="s">
        <v>115</v>
      </c>
      <c r="C393" s="202"/>
      <c r="D393" s="202" t="s">
        <v>116</v>
      </c>
      <c r="E393" s="240">
        <f>E394+E395</f>
        <v>0</v>
      </c>
      <c r="F393" s="240">
        <f t="shared" ref="F393:I393" si="230">F394+F395</f>
        <v>2000</v>
      </c>
      <c r="G393" s="240">
        <f t="shared" si="230"/>
        <v>2000</v>
      </c>
      <c r="H393" s="240">
        <f t="shared" si="230"/>
        <v>0</v>
      </c>
      <c r="I393" s="240">
        <f t="shared" si="230"/>
        <v>0</v>
      </c>
    </row>
    <row r="394" spans="1:9" x14ac:dyDescent="0.25">
      <c r="A394" s="234"/>
      <c r="B394" s="235" t="s">
        <v>526</v>
      </c>
      <c r="C394" s="234"/>
      <c r="D394" s="234" t="s">
        <v>423</v>
      </c>
      <c r="E394" s="241">
        <f>'Rekapitulacija Posebni dio'!C633</f>
        <v>0</v>
      </c>
      <c r="F394" s="241">
        <f>'Rekapitulacija Posebni dio'!D633</f>
        <v>800</v>
      </c>
      <c r="G394" s="241">
        <f>'Rekapitulacija Posebni dio'!E633</f>
        <v>800</v>
      </c>
      <c r="H394" s="241">
        <f>'Rekapitulacija Posebni dio'!F633</f>
        <v>0</v>
      </c>
      <c r="I394" s="241">
        <f>'Rekapitulacija Posebni dio'!G633</f>
        <v>0</v>
      </c>
    </row>
    <row r="395" spans="1:9" x14ac:dyDescent="0.25">
      <c r="A395" s="234"/>
      <c r="B395" s="235" t="s">
        <v>548</v>
      </c>
      <c r="C395" s="234"/>
      <c r="D395" s="234" t="s">
        <v>427</v>
      </c>
      <c r="E395" s="241">
        <f>'Rekapitulacija Posebni dio'!C634</f>
        <v>0</v>
      </c>
      <c r="F395" s="241">
        <f>'Rekapitulacija Posebni dio'!D634</f>
        <v>1200</v>
      </c>
      <c r="G395" s="241">
        <f>'Rekapitulacija Posebni dio'!E634</f>
        <v>1200</v>
      </c>
      <c r="H395" s="241">
        <f>'Rekapitulacija Posebni dio'!F634</f>
        <v>0</v>
      </c>
      <c r="I395" s="241">
        <f>'Rekapitulacija Posebni dio'!G634</f>
        <v>0</v>
      </c>
    </row>
    <row r="396" spans="1:9" x14ac:dyDescent="0.25">
      <c r="A396" s="202"/>
      <c r="B396" s="162" t="s">
        <v>117</v>
      </c>
      <c r="C396" s="202"/>
      <c r="D396" s="202" t="s">
        <v>118</v>
      </c>
      <c r="E396" s="241"/>
      <c r="F396" s="241"/>
      <c r="G396" s="241"/>
      <c r="H396" s="241"/>
      <c r="I396" s="241"/>
    </row>
    <row r="397" spans="1:9" x14ac:dyDescent="0.25">
      <c r="A397" s="202"/>
      <c r="B397" s="162" t="s">
        <v>119</v>
      </c>
      <c r="C397" s="202"/>
      <c r="D397" s="202" t="s">
        <v>120</v>
      </c>
      <c r="E397" s="240">
        <f t="shared" ref="E397:I397" si="231">E398</f>
        <v>0</v>
      </c>
      <c r="F397" s="240">
        <f t="shared" si="231"/>
        <v>500</v>
      </c>
      <c r="G397" s="240">
        <f t="shared" si="231"/>
        <v>500</v>
      </c>
      <c r="H397" s="240">
        <f t="shared" si="231"/>
        <v>0</v>
      </c>
      <c r="I397" s="240">
        <f t="shared" si="231"/>
        <v>0</v>
      </c>
    </row>
    <row r="398" spans="1:9" x14ac:dyDescent="0.25">
      <c r="A398" s="202"/>
      <c r="B398" s="235" t="s">
        <v>513</v>
      </c>
      <c r="C398" s="234"/>
      <c r="D398" s="234" t="s">
        <v>431</v>
      </c>
      <c r="E398" s="241">
        <f>'Rekapitulacija Posebni dio'!C636</f>
        <v>0</v>
      </c>
      <c r="F398" s="241">
        <f>'Rekapitulacija Posebni dio'!D636</f>
        <v>500</v>
      </c>
      <c r="G398" s="241">
        <f>'Rekapitulacija Posebni dio'!E636</f>
        <v>500</v>
      </c>
      <c r="H398" s="241">
        <f>'Rekapitulacija Posebni dio'!F636</f>
        <v>0</v>
      </c>
      <c r="I398" s="241">
        <f>'Rekapitulacija Posebni dio'!G636</f>
        <v>0</v>
      </c>
    </row>
    <row r="399" spans="1:9" x14ac:dyDescent="0.25">
      <c r="A399" s="202"/>
      <c r="B399" s="162" t="s">
        <v>121</v>
      </c>
      <c r="C399" s="202"/>
      <c r="D399" s="202" t="s">
        <v>122</v>
      </c>
      <c r="E399" s="241"/>
      <c r="F399" s="241"/>
      <c r="G399" s="241"/>
      <c r="H399" s="241"/>
      <c r="I399" s="241"/>
    </row>
    <row r="400" spans="1:9" x14ac:dyDescent="0.25">
      <c r="A400" s="202"/>
      <c r="B400" s="162" t="s">
        <v>127</v>
      </c>
      <c r="C400" s="202"/>
      <c r="D400" s="202" t="s">
        <v>128</v>
      </c>
      <c r="E400" s="240">
        <f>E401+E408+E410</f>
        <v>788.75</v>
      </c>
      <c r="F400" s="240">
        <f>F401+F408+F410</f>
        <v>3260.18</v>
      </c>
      <c r="G400" s="240">
        <f t="shared" ref="G400:I400" si="232">G401+G408+G410</f>
        <v>5181.68</v>
      </c>
      <c r="H400" s="240">
        <f t="shared" si="232"/>
        <v>2881.68</v>
      </c>
      <c r="I400" s="240">
        <f t="shared" si="232"/>
        <v>1921.5</v>
      </c>
    </row>
    <row r="401" spans="1:9" x14ac:dyDescent="0.25">
      <c r="A401" s="202"/>
      <c r="B401" s="162" t="s">
        <v>129</v>
      </c>
      <c r="C401" s="202"/>
      <c r="D401" s="202" t="s">
        <v>130</v>
      </c>
      <c r="E401" s="240">
        <f>E402+E403</f>
        <v>0</v>
      </c>
      <c r="F401" s="240">
        <f t="shared" ref="F401:I401" si="233">F402+F403</f>
        <v>800</v>
      </c>
      <c r="G401" s="240">
        <f t="shared" si="233"/>
        <v>800</v>
      </c>
      <c r="H401" s="240">
        <f t="shared" si="233"/>
        <v>0</v>
      </c>
      <c r="I401" s="240">
        <f t="shared" si="233"/>
        <v>0</v>
      </c>
    </row>
    <row r="402" spans="1:9" x14ac:dyDescent="0.25">
      <c r="A402" s="234"/>
      <c r="B402" s="235" t="s">
        <v>516</v>
      </c>
      <c r="C402" s="234"/>
      <c r="D402" s="234" t="s">
        <v>439</v>
      </c>
      <c r="E402" s="241"/>
      <c r="F402" s="241"/>
      <c r="G402" s="241"/>
      <c r="H402" s="241"/>
      <c r="I402" s="241"/>
    </row>
    <row r="403" spans="1:9" x14ac:dyDescent="0.25">
      <c r="A403" s="234"/>
      <c r="B403" s="235" t="s">
        <v>576</v>
      </c>
      <c r="C403" s="234"/>
      <c r="D403" s="234" t="s">
        <v>577</v>
      </c>
      <c r="E403" s="241">
        <f>'Rekapitulacija Posebni dio'!C639</f>
        <v>0</v>
      </c>
      <c r="F403" s="241">
        <f>'Rekapitulacija Posebni dio'!D639</f>
        <v>800</v>
      </c>
      <c r="G403" s="241">
        <f>'Rekapitulacija Posebni dio'!E639</f>
        <v>800</v>
      </c>
      <c r="H403" s="241">
        <f>'Rekapitulacija Posebni dio'!F639</f>
        <v>0</v>
      </c>
      <c r="I403" s="241">
        <f>'Rekapitulacija Posebni dio'!G639</f>
        <v>0</v>
      </c>
    </row>
    <row r="404" spans="1:9" hidden="1" x14ac:dyDescent="0.25">
      <c r="A404" s="202"/>
      <c r="B404" s="235" t="s">
        <v>133</v>
      </c>
      <c r="C404" s="234"/>
      <c r="D404" s="234" t="s">
        <v>134</v>
      </c>
      <c r="E404" s="241"/>
      <c r="F404" s="241"/>
      <c r="G404" s="241"/>
      <c r="H404" s="241"/>
      <c r="I404" s="241"/>
    </row>
    <row r="405" spans="1:9" hidden="1" x14ac:dyDescent="0.25">
      <c r="A405" s="202"/>
      <c r="B405" s="235" t="s">
        <v>135</v>
      </c>
      <c r="C405" s="234"/>
      <c r="D405" s="234" t="s">
        <v>136</v>
      </c>
      <c r="E405" s="241"/>
      <c r="F405" s="241"/>
      <c r="G405" s="241"/>
      <c r="H405" s="241"/>
      <c r="I405" s="241"/>
    </row>
    <row r="406" spans="1:9" hidden="1" x14ac:dyDescent="0.25">
      <c r="A406" s="202"/>
      <c r="B406" s="235" t="s">
        <v>217</v>
      </c>
      <c r="C406" s="234"/>
      <c r="D406" s="234" t="s">
        <v>137</v>
      </c>
      <c r="E406" s="241"/>
      <c r="F406" s="241"/>
      <c r="G406" s="241"/>
      <c r="H406" s="241"/>
      <c r="I406" s="241"/>
    </row>
    <row r="407" spans="1:9" hidden="1" x14ac:dyDescent="0.25">
      <c r="A407" s="202"/>
      <c r="B407" s="235" t="s">
        <v>218</v>
      </c>
      <c r="C407" s="234"/>
      <c r="D407" s="234" t="s">
        <v>138</v>
      </c>
      <c r="E407" s="241"/>
      <c r="F407" s="241"/>
      <c r="G407" s="241"/>
      <c r="H407" s="241"/>
      <c r="I407" s="241"/>
    </row>
    <row r="408" spans="1:9" x14ac:dyDescent="0.25">
      <c r="A408" s="202"/>
      <c r="B408" s="162" t="s">
        <v>219</v>
      </c>
      <c r="C408" s="202"/>
      <c r="D408" s="202" t="s">
        <v>139</v>
      </c>
      <c r="E408" s="240">
        <f t="shared" ref="E408:I408" si="234">SUM(E409)</f>
        <v>0</v>
      </c>
      <c r="F408" s="240">
        <f t="shared" si="234"/>
        <v>1518.74</v>
      </c>
      <c r="G408" s="240">
        <f t="shared" si="234"/>
        <v>3440.24</v>
      </c>
      <c r="H408" s="240">
        <f t="shared" si="234"/>
        <v>2440.2399999999998</v>
      </c>
      <c r="I408" s="240">
        <f t="shared" si="234"/>
        <v>1921.5</v>
      </c>
    </row>
    <row r="409" spans="1:9" x14ac:dyDescent="0.25">
      <c r="A409" s="202"/>
      <c r="B409" s="235" t="s">
        <v>528</v>
      </c>
      <c r="C409" s="234"/>
      <c r="D409" s="234" t="s">
        <v>451</v>
      </c>
      <c r="E409" s="241">
        <f>'Rekapitulacija Posebni dio'!C573+'Rekapitulacija Posebni dio'!C641+'Rekapitulacija Posebni dio'!C604</f>
        <v>0</v>
      </c>
      <c r="F409" s="241">
        <f>'Rekapitulacija Posebni dio'!D573+'Rekapitulacija Posebni dio'!D641+'Rekapitulacija Posebni dio'!D604</f>
        <v>1518.74</v>
      </c>
      <c r="G409" s="241">
        <f>'Rekapitulacija Posebni dio'!E573+'Rekapitulacija Posebni dio'!E641+'Rekapitulacija Posebni dio'!E604</f>
        <v>3440.24</v>
      </c>
      <c r="H409" s="241">
        <f>'Rekapitulacija Posebni dio'!F573+'Rekapitulacija Posebni dio'!F641+'Rekapitulacija Posebni dio'!F604</f>
        <v>2440.2399999999998</v>
      </c>
      <c r="I409" s="241">
        <f>'Rekapitulacija Posebni dio'!G573+'Rekapitulacija Posebni dio'!G641+'Rekapitulacija Posebni dio'!G604</f>
        <v>1921.5</v>
      </c>
    </row>
    <row r="410" spans="1:9" x14ac:dyDescent="0.25">
      <c r="A410" s="202"/>
      <c r="B410" s="162" t="s">
        <v>142</v>
      </c>
      <c r="C410" s="202"/>
      <c r="D410" s="202" t="s">
        <v>562</v>
      </c>
      <c r="E410" s="240">
        <f t="shared" ref="E410:I410" si="235">SUM(E411)</f>
        <v>788.75</v>
      </c>
      <c r="F410" s="240">
        <f t="shared" si="235"/>
        <v>941.44</v>
      </c>
      <c r="G410" s="240">
        <f t="shared" si="235"/>
        <v>941.44</v>
      </c>
      <c r="H410" s="240">
        <f t="shared" si="235"/>
        <v>441.44</v>
      </c>
      <c r="I410" s="240">
        <f t="shared" si="235"/>
        <v>0</v>
      </c>
    </row>
    <row r="411" spans="1:9" x14ac:dyDescent="0.25">
      <c r="A411" s="202"/>
      <c r="B411" s="235" t="s">
        <v>529</v>
      </c>
      <c r="C411" s="234"/>
      <c r="D411" s="234" t="s">
        <v>317</v>
      </c>
      <c r="E411" s="241">
        <f>'Rekapitulacija Posebni dio'!C315+'Rekapitulacija Posebni dio'!C575+'Rekapitulacija Posebni dio'!C643+'Rekapitulacija Posebni dio'!C696+'Rekapitulacija Posebni dio'!C606</f>
        <v>788.75</v>
      </c>
      <c r="F411" s="241">
        <f>'Rekapitulacija Posebni dio'!D315+'Rekapitulacija Posebni dio'!D575+'Rekapitulacija Posebni dio'!D643+'Rekapitulacija Posebni dio'!D696+'Rekapitulacija Posebni dio'!D606</f>
        <v>941.44</v>
      </c>
      <c r="G411" s="241">
        <f>'Rekapitulacija Posebni dio'!E315+'Rekapitulacija Posebni dio'!E575+'Rekapitulacija Posebni dio'!E643+'Rekapitulacija Posebni dio'!E696+'Rekapitulacija Posebni dio'!E606</f>
        <v>941.44</v>
      </c>
      <c r="H411" s="241">
        <f>'Rekapitulacija Posebni dio'!F315+'Rekapitulacija Posebni dio'!F575+'Rekapitulacija Posebni dio'!F643+'Rekapitulacija Posebni dio'!F696+'Rekapitulacija Posebni dio'!F606</f>
        <v>441.44</v>
      </c>
      <c r="I411" s="241">
        <f>'Rekapitulacija Posebni dio'!G315+'Rekapitulacija Posebni dio'!G575+'Rekapitulacija Posebni dio'!G643+'Rekapitulacija Posebni dio'!G696+'Rekapitulacija Posebni dio'!G606</f>
        <v>0</v>
      </c>
    </row>
    <row r="412" spans="1:9" x14ac:dyDescent="0.25">
      <c r="A412" s="202"/>
      <c r="B412" s="162" t="s">
        <v>220</v>
      </c>
      <c r="C412" s="202"/>
      <c r="D412" s="202" t="s">
        <v>221</v>
      </c>
      <c r="E412" s="240">
        <f>E413+E415</f>
        <v>729.5</v>
      </c>
      <c r="F412" s="240">
        <f t="shared" ref="F412:I412" si="236">F413+F415</f>
        <v>1000</v>
      </c>
      <c r="G412" s="240">
        <f t="shared" si="236"/>
        <v>1000</v>
      </c>
      <c r="H412" s="240">
        <f t="shared" si="236"/>
        <v>0</v>
      </c>
      <c r="I412" s="240">
        <f t="shared" si="236"/>
        <v>0</v>
      </c>
    </row>
    <row r="413" spans="1:9" x14ac:dyDescent="0.25">
      <c r="A413" s="202"/>
      <c r="B413" s="162" t="s">
        <v>222</v>
      </c>
      <c r="C413" s="202"/>
      <c r="D413" s="202" t="s">
        <v>149</v>
      </c>
      <c r="E413" s="240">
        <f>E414</f>
        <v>729.5</v>
      </c>
      <c r="F413" s="240">
        <f t="shared" ref="F413:I413" si="237">F414</f>
        <v>1000</v>
      </c>
      <c r="G413" s="240">
        <f t="shared" si="237"/>
        <v>1000</v>
      </c>
      <c r="H413" s="240">
        <f t="shared" si="237"/>
        <v>0</v>
      </c>
      <c r="I413" s="240">
        <f t="shared" si="237"/>
        <v>0</v>
      </c>
    </row>
    <row r="414" spans="1:9" x14ac:dyDescent="0.25">
      <c r="A414" s="202"/>
      <c r="B414" s="235" t="s">
        <v>584</v>
      </c>
      <c r="C414" s="234"/>
      <c r="D414" s="234" t="s">
        <v>149</v>
      </c>
      <c r="E414" s="241">
        <f>'Rekapitulacija Posebni dio'!C318+'Rekapitulacija Posebni dio'!C646</f>
        <v>729.5</v>
      </c>
      <c r="F414" s="241">
        <f>'Rekapitulacija Posebni dio'!D318+'Rekapitulacija Posebni dio'!D646</f>
        <v>1000</v>
      </c>
      <c r="G414" s="241">
        <f>'Rekapitulacija Posebni dio'!E318+'Rekapitulacija Posebni dio'!E646</f>
        <v>1000</v>
      </c>
      <c r="H414" s="241">
        <f>'Rekapitulacija Posebni dio'!F318+'Rekapitulacija Posebni dio'!F646</f>
        <v>0</v>
      </c>
      <c r="I414" s="241">
        <f>'Rekapitulacija Posebni dio'!G318+'Rekapitulacija Posebni dio'!G646</f>
        <v>0</v>
      </c>
    </row>
    <row r="415" spans="1:9" x14ac:dyDescent="0.25">
      <c r="A415" s="202"/>
      <c r="B415" s="162" t="s">
        <v>223</v>
      </c>
      <c r="C415" s="202"/>
      <c r="D415" s="202" t="s">
        <v>151</v>
      </c>
      <c r="E415" s="240"/>
      <c r="F415" s="240"/>
      <c r="G415" s="240"/>
      <c r="H415" s="240"/>
      <c r="I415" s="240"/>
    </row>
    <row r="416" spans="1:9" x14ac:dyDescent="0.25">
      <c r="A416" s="258">
        <v>4</v>
      </c>
      <c r="B416" s="259"/>
      <c r="C416" s="260"/>
      <c r="D416" s="261" t="s">
        <v>175</v>
      </c>
      <c r="E416" s="296">
        <f t="shared" ref="E416:I417" si="238">E417</f>
        <v>569750</v>
      </c>
      <c r="F416" s="296">
        <f t="shared" si="238"/>
        <v>0</v>
      </c>
      <c r="G416" s="296">
        <f t="shared" si="238"/>
        <v>0</v>
      </c>
      <c r="H416" s="296">
        <f t="shared" si="238"/>
        <v>0</v>
      </c>
      <c r="I416" s="296">
        <f t="shared" si="238"/>
        <v>0</v>
      </c>
    </row>
    <row r="417" spans="1:9" x14ac:dyDescent="0.25">
      <c r="A417" s="202"/>
      <c r="B417" s="141">
        <v>42</v>
      </c>
      <c r="C417" s="215"/>
      <c r="D417" s="233" t="s">
        <v>184</v>
      </c>
      <c r="E417" s="293">
        <f t="shared" si="238"/>
        <v>569750</v>
      </c>
      <c r="F417" s="293">
        <f t="shared" si="238"/>
        <v>0</v>
      </c>
      <c r="G417" s="293">
        <f t="shared" si="238"/>
        <v>0</v>
      </c>
      <c r="H417" s="293">
        <f t="shared" si="238"/>
        <v>0</v>
      </c>
      <c r="I417" s="293">
        <f t="shared" si="238"/>
        <v>0</v>
      </c>
    </row>
    <row r="418" spans="1:9" x14ac:dyDescent="0.25">
      <c r="A418" s="202"/>
      <c r="B418" s="162">
        <v>422</v>
      </c>
      <c r="C418" s="202"/>
      <c r="D418" s="202" t="s">
        <v>185</v>
      </c>
      <c r="E418" s="240">
        <f>E419+E420</f>
        <v>569750</v>
      </c>
      <c r="F418" s="240">
        <f t="shared" ref="F418:I418" si="239">F419+F420</f>
        <v>0</v>
      </c>
      <c r="G418" s="240">
        <f t="shared" si="239"/>
        <v>0</v>
      </c>
      <c r="H418" s="240">
        <f t="shared" si="239"/>
        <v>0</v>
      </c>
      <c r="I418" s="240">
        <f t="shared" si="239"/>
        <v>0</v>
      </c>
    </row>
    <row r="419" spans="1:9" x14ac:dyDescent="0.25">
      <c r="A419" s="202"/>
      <c r="B419" s="162" t="s">
        <v>186</v>
      </c>
      <c r="C419" s="202"/>
      <c r="D419" s="202" t="s">
        <v>187</v>
      </c>
      <c r="E419" s="240"/>
      <c r="F419" s="240"/>
      <c r="G419" s="240"/>
      <c r="H419" s="240"/>
      <c r="I419" s="240"/>
    </row>
    <row r="420" spans="1:9" x14ac:dyDescent="0.25">
      <c r="A420" s="202"/>
      <c r="B420" s="162" t="s">
        <v>230</v>
      </c>
      <c r="C420" s="202"/>
      <c r="D420" s="202" t="s">
        <v>191</v>
      </c>
      <c r="E420" s="240">
        <f>E421</f>
        <v>569750</v>
      </c>
      <c r="F420" s="240">
        <f t="shared" ref="F420:I420" si="240">F421</f>
        <v>0</v>
      </c>
      <c r="G420" s="240">
        <f t="shared" si="240"/>
        <v>0</v>
      </c>
      <c r="H420" s="240">
        <f t="shared" si="240"/>
        <v>0</v>
      </c>
      <c r="I420" s="240">
        <f t="shared" si="240"/>
        <v>0</v>
      </c>
    </row>
    <row r="421" spans="1:9" x14ac:dyDescent="0.25">
      <c r="A421" s="202"/>
      <c r="B421" s="235" t="s">
        <v>532</v>
      </c>
      <c r="C421" s="234"/>
      <c r="D421" s="234" t="s">
        <v>478</v>
      </c>
      <c r="E421" s="241">
        <f>'Rekapitulacija Posebni dio'!C703</f>
        <v>569750</v>
      </c>
      <c r="F421" s="241">
        <f>'Rekapitulacija Posebni dio'!D703</f>
        <v>0</v>
      </c>
      <c r="G421" s="241">
        <f>'Rekapitulacija Posebni dio'!E703</f>
        <v>0</v>
      </c>
      <c r="H421" s="241">
        <f>'Rekapitulacija Posebni dio'!F703</f>
        <v>0</v>
      </c>
      <c r="I421" s="241">
        <f>'Rekapitulacija Posebni dio'!G703</f>
        <v>0</v>
      </c>
    </row>
    <row r="422" spans="1:9" x14ac:dyDescent="0.25">
      <c r="A422" s="267"/>
      <c r="B422" s="268"/>
      <c r="C422" s="286">
        <v>52</v>
      </c>
      <c r="D422" s="287" t="s">
        <v>225</v>
      </c>
      <c r="E422" s="288">
        <f>E367+E416</f>
        <v>604187.62</v>
      </c>
      <c r="F422" s="288">
        <f t="shared" ref="F422:I422" si="241">F367+F416</f>
        <v>128013.94999999998</v>
      </c>
      <c r="G422" s="288">
        <f t="shared" si="241"/>
        <v>230923.83000000002</v>
      </c>
      <c r="H422" s="288">
        <f t="shared" si="241"/>
        <v>216923.83000000002</v>
      </c>
      <c r="I422" s="288">
        <f t="shared" si="241"/>
        <v>171224.49</v>
      </c>
    </row>
    <row r="423" spans="1:9" hidden="1" x14ac:dyDescent="0.25">
      <c r="A423" s="229" t="s">
        <v>87</v>
      </c>
      <c r="B423" s="229"/>
      <c r="C423" s="230"/>
      <c r="D423" s="231" t="s">
        <v>88</v>
      </c>
      <c r="E423" s="232">
        <f t="shared" ref="E423" si="242">E424+E433</f>
        <v>0</v>
      </c>
      <c r="F423" s="232">
        <f t="shared" ref="F423:I423" si="243">F424+F433</f>
        <v>0</v>
      </c>
      <c r="G423" s="232">
        <f t="shared" si="243"/>
        <v>0</v>
      </c>
      <c r="H423" s="232">
        <f t="shared" si="243"/>
        <v>0</v>
      </c>
      <c r="I423" s="232">
        <f t="shared" si="243"/>
        <v>0</v>
      </c>
    </row>
    <row r="424" spans="1:9" hidden="1" x14ac:dyDescent="0.25">
      <c r="A424" s="202"/>
      <c r="B424" s="141">
        <v>31</v>
      </c>
      <c r="C424" s="215"/>
      <c r="D424" s="233" t="s">
        <v>89</v>
      </c>
      <c r="E424" s="144">
        <f t="shared" ref="E424" si="244">E425+E428+E430</f>
        <v>0</v>
      </c>
      <c r="F424" s="144">
        <f t="shared" ref="F424:I424" si="245">F425+F428+F430</f>
        <v>0</v>
      </c>
      <c r="G424" s="144">
        <f t="shared" si="245"/>
        <v>0</v>
      </c>
      <c r="H424" s="144">
        <f t="shared" si="245"/>
        <v>0</v>
      </c>
      <c r="I424" s="144">
        <f t="shared" si="245"/>
        <v>0</v>
      </c>
    </row>
    <row r="425" spans="1:9" hidden="1" x14ac:dyDescent="0.25">
      <c r="A425" s="202"/>
      <c r="B425" s="162">
        <v>311</v>
      </c>
      <c r="C425" s="234"/>
      <c r="D425" s="202" t="s">
        <v>90</v>
      </c>
      <c r="E425" s="165">
        <f t="shared" ref="E425" si="246">SUM(E426:E427)</f>
        <v>0</v>
      </c>
      <c r="F425" s="165">
        <f t="shared" ref="F425:I425" si="247">SUM(F426:F427)</f>
        <v>0</v>
      </c>
      <c r="G425" s="165">
        <f t="shared" si="247"/>
        <v>0</v>
      </c>
      <c r="H425" s="165">
        <f t="shared" si="247"/>
        <v>0</v>
      </c>
      <c r="I425" s="165">
        <f t="shared" si="247"/>
        <v>0</v>
      </c>
    </row>
    <row r="426" spans="1:9" hidden="1" x14ac:dyDescent="0.25">
      <c r="A426" s="234"/>
      <c r="B426" s="235">
        <v>3111</v>
      </c>
      <c r="C426" s="234"/>
      <c r="D426" s="234" t="s">
        <v>91</v>
      </c>
      <c r="E426" s="173"/>
      <c r="F426" s="173"/>
      <c r="G426" s="173"/>
      <c r="H426" s="173"/>
      <c r="I426" s="173"/>
    </row>
    <row r="427" spans="1:9" hidden="1" x14ac:dyDescent="0.25">
      <c r="A427" s="234"/>
      <c r="B427" s="235" t="s">
        <v>96</v>
      </c>
      <c r="C427" s="234"/>
      <c r="D427" s="234" t="s">
        <v>212</v>
      </c>
      <c r="E427" s="173"/>
      <c r="F427" s="173"/>
      <c r="G427" s="173"/>
      <c r="H427" s="173"/>
      <c r="I427" s="173"/>
    </row>
    <row r="428" spans="1:9" hidden="1" x14ac:dyDescent="0.25">
      <c r="A428" s="202"/>
      <c r="B428" s="162" t="s">
        <v>98</v>
      </c>
      <c r="C428" s="202"/>
      <c r="D428" s="202" t="s">
        <v>99</v>
      </c>
      <c r="E428" s="165">
        <f t="shared" ref="E428:I428" si="248">SUM(E429)</f>
        <v>0</v>
      </c>
      <c r="F428" s="165">
        <f t="shared" si="248"/>
        <v>0</v>
      </c>
      <c r="G428" s="165">
        <f t="shared" si="248"/>
        <v>0</v>
      </c>
      <c r="H428" s="165">
        <f t="shared" si="248"/>
        <v>0</v>
      </c>
      <c r="I428" s="165">
        <f t="shared" si="248"/>
        <v>0</v>
      </c>
    </row>
    <row r="429" spans="1:9" hidden="1" x14ac:dyDescent="0.25">
      <c r="A429" s="234"/>
      <c r="B429" s="235" t="s">
        <v>100</v>
      </c>
      <c r="C429" s="234"/>
      <c r="D429" s="234" t="s">
        <v>99</v>
      </c>
      <c r="E429" s="173"/>
      <c r="F429" s="173"/>
      <c r="G429" s="173"/>
      <c r="H429" s="173"/>
      <c r="I429" s="173"/>
    </row>
    <row r="430" spans="1:9" hidden="1" x14ac:dyDescent="0.25">
      <c r="A430" s="202"/>
      <c r="B430" s="166">
        <v>313</v>
      </c>
      <c r="C430" s="202"/>
      <c r="D430" s="202" t="s">
        <v>101</v>
      </c>
      <c r="E430" s="240">
        <f t="shared" ref="E430" si="249">SUM(E431:E432)</f>
        <v>0</v>
      </c>
      <c r="F430" s="240">
        <f t="shared" ref="F430:I430" si="250">SUM(F431:F432)</f>
        <v>0</v>
      </c>
      <c r="G430" s="240">
        <f t="shared" si="250"/>
        <v>0</v>
      </c>
      <c r="H430" s="240">
        <f t="shared" si="250"/>
        <v>0</v>
      </c>
      <c r="I430" s="240">
        <f t="shared" si="250"/>
        <v>0</v>
      </c>
    </row>
    <row r="431" spans="1:9" hidden="1" x14ac:dyDescent="0.25">
      <c r="A431" s="234"/>
      <c r="B431" s="170" t="s">
        <v>226</v>
      </c>
      <c r="C431" s="234"/>
      <c r="D431" s="234" t="s">
        <v>227</v>
      </c>
      <c r="E431" s="241"/>
      <c r="F431" s="241"/>
      <c r="G431" s="241"/>
      <c r="H431" s="241"/>
      <c r="I431" s="241"/>
    </row>
    <row r="432" spans="1:9" hidden="1" x14ac:dyDescent="0.25">
      <c r="A432" s="234"/>
      <c r="B432" s="170">
        <v>3132</v>
      </c>
      <c r="C432" s="234"/>
      <c r="D432" s="234" t="s">
        <v>102</v>
      </c>
      <c r="E432" s="241"/>
      <c r="F432" s="241"/>
      <c r="G432" s="241"/>
      <c r="H432" s="241"/>
      <c r="I432" s="241"/>
    </row>
    <row r="433" spans="1:9" hidden="1" x14ac:dyDescent="0.25">
      <c r="A433" s="202"/>
      <c r="B433" s="141">
        <v>32</v>
      </c>
      <c r="C433" s="215"/>
      <c r="D433" s="233" t="s">
        <v>103</v>
      </c>
      <c r="E433" s="144">
        <f t="shared" ref="E433" si="251">E434+E438+E440</f>
        <v>0</v>
      </c>
      <c r="F433" s="144">
        <f t="shared" ref="F433:I433" si="252">F434+F438+F440</f>
        <v>0</v>
      </c>
      <c r="G433" s="144">
        <f t="shared" si="252"/>
        <v>0</v>
      </c>
      <c r="H433" s="144">
        <f t="shared" si="252"/>
        <v>0</v>
      </c>
      <c r="I433" s="144">
        <f t="shared" si="252"/>
        <v>0</v>
      </c>
    </row>
    <row r="434" spans="1:9" hidden="1" x14ac:dyDescent="0.25">
      <c r="A434" s="202"/>
      <c r="B434" s="162">
        <v>321</v>
      </c>
      <c r="C434" s="202"/>
      <c r="D434" s="202" t="s">
        <v>104</v>
      </c>
      <c r="E434" s="165">
        <f t="shared" ref="E434" si="253">SUM(E435:E436)</f>
        <v>0</v>
      </c>
      <c r="F434" s="165">
        <f t="shared" ref="F434:I434" si="254">SUM(F435:F436)</f>
        <v>0</v>
      </c>
      <c r="G434" s="165">
        <f t="shared" si="254"/>
        <v>0</v>
      </c>
      <c r="H434" s="165">
        <f t="shared" si="254"/>
        <v>0</v>
      </c>
      <c r="I434" s="165">
        <f t="shared" si="254"/>
        <v>0</v>
      </c>
    </row>
    <row r="435" spans="1:9" hidden="1" x14ac:dyDescent="0.25">
      <c r="A435" s="234"/>
      <c r="B435" s="235" t="s">
        <v>105</v>
      </c>
      <c r="C435" s="234"/>
      <c r="D435" s="234" t="s">
        <v>106</v>
      </c>
      <c r="E435" s="173"/>
      <c r="F435" s="173"/>
      <c r="G435" s="173"/>
      <c r="H435" s="173"/>
      <c r="I435" s="173"/>
    </row>
    <row r="436" spans="1:9" hidden="1" x14ac:dyDescent="0.25">
      <c r="A436" s="234"/>
      <c r="B436" s="235" t="s">
        <v>107</v>
      </c>
      <c r="C436" s="234"/>
      <c r="D436" s="244" t="s">
        <v>108</v>
      </c>
      <c r="E436" s="173"/>
      <c r="F436" s="173"/>
      <c r="G436" s="173"/>
      <c r="H436" s="173"/>
      <c r="I436" s="173"/>
    </row>
    <row r="437" spans="1:9" hidden="1" x14ac:dyDescent="0.25">
      <c r="A437" s="234"/>
      <c r="B437" s="235" t="s">
        <v>109</v>
      </c>
      <c r="C437" s="234"/>
      <c r="D437" s="244" t="s">
        <v>110</v>
      </c>
      <c r="E437" s="173"/>
      <c r="F437" s="173"/>
      <c r="G437" s="173"/>
      <c r="H437" s="173"/>
      <c r="I437" s="173"/>
    </row>
    <row r="438" spans="1:9" hidden="1" x14ac:dyDescent="0.25">
      <c r="A438" s="202"/>
      <c r="B438" s="162" t="s">
        <v>113</v>
      </c>
      <c r="C438" s="202"/>
      <c r="D438" s="246" t="s">
        <v>114</v>
      </c>
      <c r="E438" s="165">
        <f t="shared" ref="E438:I438" si="255">SUM(E439:E439)</f>
        <v>0</v>
      </c>
      <c r="F438" s="165">
        <f t="shared" si="255"/>
        <v>0</v>
      </c>
      <c r="G438" s="165">
        <f t="shared" si="255"/>
        <v>0</v>
      </c>
      <c r="H438" s="165">
        <f t="shared" si="255"/>
        <v>0</v>
      </c>
      <c r="I438" s="165">
        <f t="shared" si="255"/>
        <v>0</v>
      </c>
    </row>
    <row r="439" spans="1:9" hidden="1" x14ac:dyDescent="0.25">
      <c r="A439" s="202"/>
      <c r="B439" s="235" t="s">
        <v>119</v>
      </c>
      <c r="C439" s="202"/>
      <c r="D439" s="234" t="s">
        <v>120</v>
      </c>
      <c r="E439" s="173"/>
      <c r="F439" s="173"/>
      <c r="G439" s="173"/>
      <c r="H439" s="173"/>
      <c r="I439" s="173"/>
    </row>
    <row r="440" spans="1:9" hidden="1" x14ac:dyDescent="0.25">
      <c r="A440" s="202"/>
      <c r="B440" s="162" t="s">
        <v>127</v>
      </c>
      <c r="C440" s="202"/>
      <c r="D440" s="246" t="s">
        <v>128</v>
      </c>
      <c r="E440" s="165">
        <f t="shared" ref="E440" si="256">SUM(E442:E442)</f>
        <v>0</v>
      </c>
      <c r="F440" s="165">
        <f t="shared" ref="F440:I440" si="257">SUM(F442:F442)</f>
        <v>0</v>
      </c>
      <c r="G440" s="165">
        <f t="shared" si="257"/>
        <v>0</v>
      </c>
      <c r="H440" s="165">
        <f t="shared" si="257"/>
        <v>0</v>
      </c>
      <c r="I440" s="165">
        <f t="shared" si="257"/>
        <v>0</v>
      </c>
    </row>
    <row r="441" spans="1:9" hidden="1" x14ac:dyDescent="0.25">
      <c r="A441" s="234"/>
      <c r="B441" s="235" t="s">
        <v>129</v>
      </c>
      <c r="C441" s="234"/>
      <c r="D441" s="244" t="s">
        <v>130</v>
      </c>
      <c r="E441" s="173"/>
      <c r="F441" s="173"/>
      <c r="G441" s="173"/>
      <c r="H441" s="173"/>
      <c r="I441" s="173"/>
    </row>
    <row r="442" spans="1:9" hidden="1" x14ac:dyDescent="0.25">
      <c r="A442" s="202"/>
      <c r="B442" s="235" t="s">
        <v>133</v>
      </c>
      <c r="C442" s="202"/>
      <c r="D442" s="244" t="s">
        <v>134</v>
      </c>
      <c r="E442" s="173"/>
      <c r="F442" s="173"/>
      <c r="G442" s="173"/>
      <c r="H442" s="173"/>
      <c r="I442" s="173"/>
    </row>
    <row r="443" spans="1:9" hidden="1" x14ac:dyDescent="0.25">
      <c r="A443" s="258">
        <v>4</v>
      </c>
      <c r="B443" s="259"/>
      <c r="C443" s="260"/>
      <c r="D443" s="261" t="s">
        <v>175</v>
      </c>
      <c r="E443" s="214">
        <f t="shared" ref="E443:I445" si="258">E444</f>
        <v>0</v>
      </c>
      <c r="F443" s="214">
        <f t="shared" si="258"/>
        <v>0</v>
      </c>
      <c r="G443" s="214">
        <f t="shared" si="258"/>
        <v>0</v>
      </c>
      <c r="H443" s="214">
        <f t="shared" si="258"/>
        <v>0</v>
      </c>
      <c r="I443" s="214">
        <f t="shared" si="258"/>
        <v>0</v>
      </c>
    </row>
    <row r="444" spans="1:9" hidden="1" x14ac:dyDescent="0.25">
      <c r="A444" s="202"/>
      <c r="B444" s="141" t="s">
        <v>197</v>
      </c>
      <c r="C444" s="215"/>
      <c r="D444" s="262" t="s">
        <v>198</v>
      </c>
      <c r="E444" s="178">
        <f t="shared" si="258"/>
        <v>0</v>
      </c>
      <c r="F444" s="178">
        <f t="shared" si="258"/>
        <v>0</v>
      </c>
      <c r="G444" s="178">
        <f t="shared" si="258"/>
        <v>0</v>
      </c>
      <c r="H444" s="178">
        <f t="shared" si="258"/>
        <v>0</v>
      </c>
      <c r="I444" s="178">
        <f t="shared" si="258"/>
        <v>0</v>
      </c>
    </row>
    <row r="445" spans="1:9" hidden="1" x14ac:dyDescent="0.25">
      <c r="A445" s="202"/>
      <c r="B445" s="162" t="s">
        <v>199</v>
      </c>
      <c r="C445" s="202"/>
      <c r="D445" s="202" t="s">
        <v>200</v>
      </c>
      <c r="E445" s="165">
        <f t="shared" si="258"/>
        <v>0</v>
      </c>
      <c r="F445" s="165">
        <f t="shared" si="258"/>
        <v>0</v>
      </c>
      <c r="G445" s="165">
        <f t="shared" si="258"/>
        <v>0</v>
      </c>
      <c r="H445" s="165">
        <f t="shared" si="258"/>
        <v>0</v>
      </c>
      <c r="I445" s="165">
        <f t="shared" si="258"/>
        <v>0</v>
      </c>
    </row>
    <row r="446" spans="1:9" hidden="1" x14ac:dyDescent="0.25">
      <c r="A446" s="202"/>
      <c r="B446" s="235" t="s">
        <v>201</v>
      </c>
      <c r="C446" s="234"/>
      <c r="D446" s="234" t="s">
        <v>200</v>
      </c>
      <c r="E446" s="173"/>
      <c r="F446" s="173"/>
      <c r="G446" s="173"/>
      <c r="H446" s="173"/>
      <c r="I446" s="173"/>
    </row>
    <row r="447" spans="1:9" hidden="1" x14ac:dyDescent="0.25">
      <c r="A447" s="267"/>
      <c r="B447" s="268"/>
      <c r="C447" s="286">
        <v>52</v>
      </c>
      <c r="D447" s="287" t="s">
        <v>228</v>
      </c>
      <c r="E447" s="288">
        <f t="shared" ref="E447" si="259">E423+E443</f>
        <v>0</v>
      </c>
      <c r="F447" s="288">
        <f t="shared" ref="F447:I447" si="260">F423+F443</f>
        <v>0</v>
      </c>
      <c r="G447" s="288">
        <f t="shared" si="260"/>
        <v>0</v>
      </c>
      <c r="H447" s="288">
        <f t="shared" si="260"/>
        <v>0</v>
      </c>
      <c r="I447" s="288">
        <f t="shared" si="260"/>
        <v>0</v>
      </c>
    </row>
    <row r="448" spans="1:9" x14ac:dyDescent="0.25">
      <c r="A448" s="229" t="s">
        <v>87</v>
      </c>
      <c r="B448" s="229"/>
      <c r="C448" s="230"/>
      <c r="D448" s="231" t="s">
        <v>88</v>
      </c>
      <c r="E448" s="298">
        <f t="shared" ref="E448:I448" si="261">E449</f>
        <v>3957.25</v>
      </c>
      <c r="F448" s="298">
        <f t="shared" si="261"/>
        <v>20810</v>
      </c>
      <c r="G448" s="298">
        <f t="shared" si="261"/>
        <v>1000</v>
      </c>
      <c r="H448" s="298">
        <f t="shared" si="261"/>
        <v>1200</v>
      </c>
      <c r="I448" s="298">
        <f t="shared" si="261"/>
        <v>1400</v>
      </c>
    </row>
    <row r="449" spans="1:9" x14ac:dyDescent="0.25">
      <c r="A449" s="202"/>
      <c r="B449" s="141">
        <v>32</v>
      </c>
      <c r="C449" s="215"/>
      <c r="D449" s="233" t="s">
        <v>103</v>
      </c>
      <c r="E449" s="178">
        <f t="shared" ref="E449" si="262">E450+E455+E459</f>
        <v>3957.25</v>
      </c>
      <c r="F449" s="178">
        <f t="shared" ref="F449:I449" si="263">F450+F455+F459</f>
        <v>20810</v>
      </c>
      <c r="G449" s="178">
        <f t="shared" si="263"/>
        <v>1000</v>
      </c>
      <c r="H449" s="178">
        <f t="shared" si="263"/>
        <v>1200</v>
      </c>
      <c r="I449" s="178">
        <f t="shared" si="263"/>
        <v>1400</v>
      </c>
    </row>
    <row r="450" spans="1:9" x14ac:dyDescent="0.25">
      <c r="A450" s="202"/>
      <c r="B450" s="162">
        <v>321</v>
      </c>
      <c r="C450" s="202"/>
      <c r="D450" s="202" t="s">
        <v>104</v>
      </c>
      <c r="E450" s="165">
        <f t="shared" ref="E450" si="264">E451+E454</f>
        <v>3957.25</v>
      </c>
      <c r="F450" s="165">
        <f t="shared" ref="F450:I450" si="265">F451+F454</f>
        <v>1000</v>
      </c>
      <c r="G450" s="165">
        <f t="shared" si="265"/>
        <v>1000</v>
      </c>
      <c r="H450" s="165">
        <f t="shared" si="265"/>
        <v>1200</v>
      </c>
      <c r="I450" s="165">
        <f t="shared" si="265"/>
        <v>1400</v>
      </c>
    </row>
    <row r="451" spans="1:9" x14ac:dyDescent="0.25">
      <c r="A451" s="202"/>
      <c r="B451" s="162" t="s">
        <v>105</v>
      </c>
      <c r="C451" s="202"/>
      <c r="D451" s="202" t="s">
        <v>106</v>
      </c>
      <c r="E451" s="165">
        <f t="shared" ref="E451" si="266">SUM(E452:E453)</f>
        <v>3957.25</v>
      </c>
      <c r="F451" s="165">
        <f t="shared" ref="F451:I451" si="267">SUM(F452:F453)</f>
        <v>1000</v>
      </c>
      <c r="G451" s="165">
        <f t="shared" si="267"/>
        <v>1000</v>
      </c>
      <c r="H451" s="165">
        <f t="shared" si="267"/>
        <v>1200</v>
      </c>
      <c r="I451" s="165">
        <f t="shared" si="267"/>
        <v>1400</v>
      </c>
    </row>
    <row r="452" spans="1:9" x14ac:dyDescent="0.25">
      <c r="A452" s="202"/>
      <c r="B452" s="235" t="s">
        <v>535</v>
      </c>
      <c r="C452" s="234"/>
      <c r="D452" s="234" t="s">
        <v>416</v>
      </c>
      <c r="E452" s="173">
        <f>'Rekapitulacija Posebni dio'!C343</f>
        <v>2957.25</v>
      </c>
      <c r="F452" s="173">
        <f>'Rekapitulacija Posebni dio'!D343</f>
        <v>500</v>
      </c>
      <c r="G452" s="173">
        <f>'Rekapitulacija Posebni dio'!E343</f>
        <v>500</v>
      </c>
      <c r="H452" s="173">
        <f>'Rekapitulacija Posebni dio'!F343</f>
        <v>600</v>
      </c>
      <c r="I452" s="173">
        <f>'Rekapitulacija Posebni dio'!G343</f>
        <v>700</v>
      </c>
    </row>
    <row r="453" spans="1:9" x14ac:dyDescent="0.25">
      <c r="A453" s="234"/>
      <c r="B453" s="235" t="s">
        <v>524</v>
      </c>
      <c r="C453" s="234"/>
      <c r="D453" s="234" t="s">
        <v>419</v>
      </c>
      <c r="E453" s="173">
        <f>'Rekapitulacija Posebni dio'!C344</f>
        <v>1000</v>
      </c>
      <c r="F453" s="173">
        <f>'Rekapitulacija Posebni dio'!D344</f>
        <v>500</v>
      </c>
      <c r="G453" s="173">
        <f>'Rekapitulacija Posebni dio'!E344</f>
        <v>500</v>
      </c>
      <c r="H453" s="173">
        <f>'Rekapitulacija Posebni dio'!F344</f>
        <v>600</v>
      </c>
      <c r="I453" s="173">
        <f>'Rekapitulacija Posebni dio'!G344</f>
        <v>700</v>
      </c>
    </row>
    <row r="454" spans="1:9" x14ac:dyDescent="0.25">
      <c r="A454" s="234"/>
      <c r="B454" s="162" t="s">
        <v>109</v>
      </c>
      <c r="C454" s="202"/>
      <c r="D454" s="202" t="s">
        <v>110</v>
      </c>
      <c r="E454" s="173"/>
      <c r="F454" s="173"/>
      <c r="G454" s="173"/>
      <c r="H454" s="173"/>
      <c r="I454" s="173"/>
    </row>
    <row r="455" spans="1:9" s="138" customFormat="1" x14ac:dyDescent="0.25">
      <c r="A455" s="202"/>
      <c r="B455" s="162" t="s">
        <v>113</v>
      </c>
      <c r="C455" s="202"/>
      <c r="D455" s="202" t="s">
        <v>114</v>
      </c>
      <c r="E455" s="165">
        <f t="shared" ref="E455:I456" si="268">E456</f>
        <v>0</v>
      </c>
      <c r="F455" s="165">
        <f t="shared" si="268"/>
        <v>9950</v>
      </c>
      <c r="G455" s="165">
        <f t="shared" si="268"/>
        <v>0</v>
      </c>
      <c r="H455" s="165">
        <f t="shared" si="268"/>
        <v>0</v>
      </c>
      <c r="I455" s="165">
        <f t="shared" si="268"/>
        <v>0</v>
      </c>
    </row>
    <row r="456" spans="1:9" s="138" customFormat="1" x14ac:dyDescent="0.25">
      <c r="A456" s="202"/>
      <c r="B456" s="162" t="s">
        <v>121</v>
      </c>
      <c r="C456" s="202"/>
      <c r="D456" s="202" t="s">
        <v>332</v>
      </c>
      <c r="E456" s="165">
        <f t="shared" si="268"/>
        <v>0</v>
      </c>
      <c r="F456" s="165">
        <f t="shared" si="268"/>
        <v>9950</v>
      </c>
      <c r="G456" s="165">
        <f t="shared" si="268"/>
        <v>0</v>
      </c>
      <c r="H456" s="165">
        <f t="shared" si="268"/>
        <v>0</v>
      </c>
      <c r="I456" s="165">
        <f t="shared" si="268"/>
        <v>0</v>
      </c>
    </row>
    <row r="457" spans="1:9" s="138" customFormat="1" x14ac:dyDescent="0.25">
      <c r="A457" s="202"/>
      <c r="B457" s="235" t="s">
        <v>550</v>
      </c>
      <c r="C457" s="202"/>
      <c r="D457" s="234" t="s">
        <v>435</v>
      </c>
      <c r="E457" s="173">
        <f>'Rekapitulacija Posebni dio'!C663</f>
        <v>0</v>
      </c>
      <c r="F457" s="173">
        <f>'Rekapitulacija Posebni dio'!D663</f>
        <v>9950</v>
      </c>
      <c r="G457" s="173">
        <f>'Rekapitulacija Posebni dio'!E663</f>
        <v>0</v>
      </c>
      <c r="H457" s="173">
        <f>'Rekapitulacija Posebni dio'!F663</f>
        <v>0</v>
      </c>
      <c r="I457" s="173">
        <f>'Rekapitulacija Posebni dio'!G663</f>
        <v>0</v>
      </c>
    </row>
    <row r="458" spans="1:9" x14ac:dyDescent="0.25">
      <c r="A458" s="234"/>
      <c r="B458" s="162" t="s">
        <v>117</v>
      </c>
      <c r="C458" s="202"/>
      <c r="D458" s="202" t="s">
        <v>118</v>
      </c>
      <c r="E458" s="173"/>
      <c r="F458" s="173"/>
      <c r="G458" s="173"/>
      <c r="H458" s="173"/>
      <c r="I458" s="173"/>
    </row>
    <row r="459" spans="1:9" x14ac:dyDescent="0.25">
      <c r="A459" s="234"/>
      <c r="B459" s="162" t="s">
        <v>127</v>
      </c>
      <c r="C459" s="202"/>
      <c r="D459" s="359" t="s">
        <v>128</v>
      </c>
      <c r="E459" s="165">
        <f t="shared" ref="E459:I460" si="269">E460</f>
        <v>0</v>
      </c>
      <c r="F459" s="165">
        <f t="shared" si="269"/>
        <v>9860</v>
      </c>
      <c r="G459" s="165">
        <f t="shared" si="269"/>
        <v>0</v>
      </c>
      <c r="H459" s="165">
        <f t="shared" si="269"/>
        <v>0</v>
      </c>
      <c r="I459" s="165">
        <f t="shared" si="269"/>
        <v>0</v>
      </c>
    </row>
    <row r="460" spans="1:9" x14ac:dyDescent="0.25">
      <c r="A460" s="234"/>
      <c r="B460" s="162" t="s">
        <v>131</v>
      </c>
      <c r="C460" s="202"/>
      <c r="D460" s="202" t="s">
        <v>132</v>
      </c>
      <c r="E460" s="165">
        <f t="shared" si="269"/>
        <v>0</v>
      </c>
      <c r="F460" s="165">
        <f t="shared" si="269"/>
        <v>9860</v>
      </c>
      <c r="G460" s="165">
        <f t="shared" si="269"/>
        <v>0</v>
      </c>
      <c r="H460" s="165">
        <f t="shared" si="269"/>
        <v>0</v>
      </c>
      <c r="I460" s="165">
        <f t="shared" si="269"/>
        <v>0</v>
      </c>
    </row>
    <row r="461" spans="1:9" x14ac:dyDescent="0.25">
      <c r="A461" s="234"/>
      <c r="B461" s="235" t="s">
        <v>538</v>
      </c>
      <c r="C461" s="202"/>
      <c r="D461" s="234" t="s">
        <v>442</v>
      </c>
      <c r="E461" s="173">
        <f>'Rekapitulacija Posebni dio'!C668</f>
        <v>0</v>
      </c>
      <c r="F461" s="173">
        <f>'Rekapitulacija Posebni dio'!D668</f>
        <v>9860</v>
      </c>
      <c r="G461" s="173">
        <f>'Rekapitulacija Posebni dio'!E668</f>
        <v>0</v>
      </c>
      <c r="H461" s="173">
        <f>'Rekapitulacija Posebni dio'!F668</f>
        <v>0</v>
      </c>
      <c r="I461" s="173">
        <f>'Rekapitulacija Posebni dio'!G668</f>
        <v>0</v>
      </c>
    </row>
    <row r="462" spans="1:9" x14ac:dyDescent="0.25">
      <c r="A462" s="299">
        <v>4</v>
      </c>
      <c r="B462" s="300"/>
      <c r="C462" s="301"/>
      <c r="D462" s="261" t="s">
        <v>175</v>
      </c>
      <c r="E462" s="214">
        <f t="shared" ref="E462" si="270">E463+E469</f>
        <v>0</v>
      </c>
      <c r="F462" s="214">
        <f t="shared" ref="F462:I462" si="271">F463+F469</f>
        <v>29690</v>
      </c>
      <c r="G462" s="214">
        <f t="shared" si="271"/>
        <v>0</v>
      </c>
      <c r="H462" s="214">
        <f t="shared" si="271"/>
        <v>0</v>
      </c>
      <c r="I462" s="214">
        <f t="shared" si="271"/>
        <v>0</v>
      </c>
    </row>
    <row r="463" spans="1:9" x14ac:dyDescent="0.25">
      <c r="A463" s="302"/>
      <c r="B463" s="141">
        <v>42</v>
      </c>
      <c r="C463" s="215"/>
      <c r="D463" s="233" t="s">
        <v>184</v>
      </c>
      <c r="E463" s="178">
        <f t="shared" ref="E463:I463" si="272">E464</f>
        <v>0</v>
      </c>
      <c r="F463" s="178">
        <f t="shared" si="272"/>
        <v>0</v>
      </c>
      <c r="G463" s="178">
        <f t="shared" si="272"/>
        <v>0</v>
      </c>
      <c r="H463" s="178">
        <f t="shared" si="272"/>
        <v>0</v>
      </c>
      <c r="I463" s="178">
        <f t="shared" si="272"/>
        <v>0</v>
      </c>
    </row>
    <row r="464" spans="1:9" hidden="1" x14ac:dyDescent="0.25">
      <c r="A464" s="303"/>
      <c r="B464" s="162">
        <v>422</v>
      </c>
      <c r="C464" s="202"/>
      <c r="D464" s="202" t="s">
        <v>185</v>
      </c>
      <c r="E464" s="169">
        <f t="shared" ref="E464" si="273">SUM(E465:E467)</f>
        <v>0</v>
      </c>
      <c r="F464" s="169">
        <f t="shared" ref="F464:I464" si="274">SUM(F465:F467)</f>
        <v>0</v>
      </c>
      <c r="G464" s="169">
        <f t="shared" si="274"/>
        <v>0</v>
      </c>
      <c r="H464" s="169">
        <f t="shared" si="274"/>
        <v>0</v>
      </c>
      <c r="I464" s="169">
        <f t="shared" si="274"/>
        <v>0</v>
      </c>
    </row>
    <row r="465" spans="1:9" hidden="1" x14ac:dyDescent="0.25">
      <c r="A465" s="304"/>
      <c r="B465" s="162" t="s">
        <v>186</v>
      </c>
      <c r="C465" s="202"/>
      <c r="D465" s="202" t="s">
        <v>187</v>
      </c>
      <c r="E465" s="172"/>
      <c r="F465" s="172"/>
      <c r="G465" s="172"/>
      <c r="H465" s="172"/>
      <c r="I465" s="172"/>
    </row>
    <row r="466" spans="1:9" hidden="1" x14ac:dyDescent="0.25">
      <c r="A466" s="304"/>
      <c r="B466" s="162" t="s">
        <v>229</v>
      </c>
      <c r="C466" s="202"/>
      <c r="D466" s="202" t="s">
        <v>190</v>
      </c>
      <c r="E466" s="172"/>
      <c r="F466" s="172"/>
      <c r="G466" s="172"/>
      <c r="H466" s="172"/>
      <c r="I466" s="172"/>
    </row>
    <row r="467" spans="1:9" hidden="1" x14ac:dyDescent="0.25">
      <c r="A467" s="303"/>
      <c r="B467" s="162" t="s">
        <v>230</v>
      </c>
      <c r="C467" s="202"/>
      <c r="D467" s="202" t="s">
        <v>191</v>
      </c>
      <c r="E467" s="172"/>
      <c r="F467" s="172"/>
      <c r="G467" s="172"/>
      <c r="H467" s="172"/>
      <c r="I467" s="172"/>
    </row>
    <row r="468" spans="1:9" hidden="1" x14ac:dyDescent="0.25">
      <c r="A468" s="303"/>
      <c r="B468" s="235" t="s">
        <v>231</v>
      </c>
      <c r="C468" s="234"/>
      <c r="D468" s="234" t="s">
        <v>192</v>
      </c>
      <c r="E468" s="172"/>
      <c r="F468" s="172"/>
      <c r="G468" s="172"/>
      <c r="H468" s="172"/>
      <c r="I468" s="172"/>
    </row>
    <row r="469" spans="1:9" x14ac:dyDescent="0.25">
      <c r="A469" s="303"/>
      <c r="B469" s="162" t="s">
        <v>197</v>
      </c>
      <c r="C469" s="202"/>
      <c r="D469" s="202" t="s">
        <v>200</v>
      </c>
      <c r="E469" s="169">
        <f t="shared" ref="E469:I471" si="275">E470</f>
        <v>0</v>
      </c>
      <c r="F469" s="169">
        <f t="shared" si="275"/>
        <v>29690</v>
      </c>
      <c r="G469" s="169">
        <f t="shared" si="275"/>
        <v>0</v>
      </c>
      <c r="H469" s="169">
        <f t="shared" si="275"/>
        <v>0</v>
      </c>
      <c r="I469" s="169">
        <f t="shared" si="275"/>
        <v>0</v>
      </c>
    </row>
    <row r="470" spans="1:9" x14ac:dyDescent="0.25">
      <c r="A470" s="303"/>
      <c r="B470" s="162" t="s">
        <v>199</v>
      </c>
      <c r="C470" s="202"/>
      <c r="D470" s="202" t="s">
        <v>208</v>
      </c>
      <c r="E470" s="169">
        <f t="shared" si="275"/>
        <v>0</v>
      </c>
      <c r="F470" s="169">
        <f t="shared" si="275"/>
        <v>29690</v>
      </c>
      <c r="G470" s="169">
        <f t="shared" si="275"/>
        <v>0</v>
      </c>
      <c r="H470" s="169">
        <f t="shared" si="275"/>
        <v>0</v>
      </c>
      <c r="I470" s="169">
        <f t="shared" si="275"/>
        <v>0</v>
      </c>
    </row>
    <row r="471" spans="1:9" x14ac:dyDescent="0.25">
      <c r="A471" s="303"/>
      <c r="B471" s="162" t="s">
        <v>201</v>
      </c>
      <c r="C471" s="202"/>
      <c r="D471" s="202" t="s">
        <v>200</v>
      </c>
      <c r="E471" s="169">
        <f t="shared" si="275"/>
        <v>0</v>
      </c>
      <c r="F471" s="169">
        <f t="shared" si="275"/>
        <v>29690</v>
      </c>
      <c r="G471" s="169">
        <f t="shared" si="275"/>
        <v>0</v>
      </c>
      <c r="H471" s="169">
        <f t="shared" si="275"/>
        <v>0</v>
      </c>
      <c r="I471" s="169">
        <f t="shared" si="275"/>
        <v>0</v>
      </c>
    </row>
    <row r="472" spans="1:9" x14ac:dyDescent="0.25">
      <c r="A472" s="303"/>
      <c r="B472" s="235" t="s">
        <v>523</v>
      </c>
      <c r="C472" s="234"/>
      <c r="D472" s="234" t="s">
        <v>200</v>
      </c>
      <c r="E472" s="172">
        <f>'Rekapitulacija Posebni dio'!C689</f>
        <v>0</v>
      </c>
      <c r="F472" s="172">
        <f>'Rekapitulacija Posebni dio'!D689</f>
        <v>29690</v>
      </c>
      <c r="G472" s="172">
        <f>'Rekapitulacija Posebni dio'!E689</f>
        <v>0</v>
      </c>
      <c r="H472" s="172">
        <f>'Rekapitulacija Posebni dio'!F689</f>
        <v>0</v>
      </c>
      <c r="I472" s="172">
        <f>'Rekapitulacija Posebni dio'!G689</f>
        <v>0</v>
      </c>
    </row>
    <row r="473" spans="1:9" x14ac:dyDescent="0.25">
      <c r="A473" s="305"/>
      <c r="B473" s="306"/>
      <c r="C473" s="286" t="s">
        <v>72</v>
      </c>
      <c r="D473" s="287" t="s">
        <v>73</v>
      </c>
      <c r="E473" s="158">
        <f t="shared" ref="E473" si="276">E462+E448</f>
        <v>3957.25</v>
      </c>
      <c r="F473" s="158">
        <f t="shared" ref="F473:I473" si="277">F462+F448</f>
        <v>50500</v>
      </c>
      <c r="G473" s="158">
        <f t="shared" si="277"/>
        <v>1000</v>
      </c>
      <c r="H473" s="158">
        <f t="shared" si="277"/>
        <v>1200</v>
      </c>
      <c r="I473" s="158">
        <f t="shared" si="277"/>
        <v>1400</v>
      </c>
    </row>
    <row r="474" spans="1:9" x14ac:dyDescent="0.25">
      <c r="A474" s="229" t="s">
        <v>87</v>
      </c>
      <c r="B474" s="229"/>
      <c r="C474" s="230"/>
      <c r="D474" s="231" t="s">
        <v>88</v>
      </c>
      <c r="E474" s="214">
        <f t="shared" ref="E474" si="278">SUM(E478,E475,E480)</f>
        <v>8179.48</v>
      </c>
      <c r="F474" s="214">
        <f t="shared" ref="F474:I474" si="279">SUM(F478,F475,F480)</f>
        <v>0</v>
      </c>
      <c r="G474" s="214">
        <f t="shared" si="279"/>
        <v>5500</v>
      </c>
      <c r="H474" s="214">
        <f t="shared" si="279"/>
        <v>5750</v>
      </c>
      <c r="I474" s="214">
        <f t="shared" si="279"/>
        <v>6000</v>
      </c>
    </row>
    <row r="475" spans="1:9" s="138" customFormat="1" x14ac:dyDescent="0.25">
      <c r="A475" s="307"/>
      <c r="B475" s="308" t="s">
        <v>113</v>
      </c>
      <c r="C475" s="309"/>
      <c r="D475" s="310" t="s">
        <v>114</v>
      </c>
      <c r="E475" s="165">
        <f t="shared" ref="E475:I475" si="280">E476</f>
        <v>0</v>
      </c>
      <c r="F475" s="165">
        <f t="shared" si="280"/>
        <v>0</v>
      </c>
      <c r="G475" s="165">
        <f t="shared" si="280"/>
        <v>0</v>
      </c>
      <c r="H475" s="165">
        <f t="shared" si="280"/>
        <v>0</v>
      </c>
      <c r="I475" s="165">
        <f t="shared" si="280"/>
        <v>0</v>
      </c>
    </row>
    <row r="476" spans="1:9" x14ac:dyDescent="0.25">
      <c r="A476" s="311"/>
      <c r="B476" s="308" t="s">
        <v>117</v>
      </c>
      <c r="C476" s="309"/>
      <c r="D476" s="310" t="s">
        <v>118</v>
      </c>
      <c r="E476" s="173"/>
      <c r="F476" s="173"/>
      <c r="G476" s="173"/>
      <c r="H476" s="173"/>
      <c r="I476" s="173"/>
    </row>
    <row r="477" spans="1:9" x14ac:dyDescent="0.25">
      <c r="A477" s="311"/>
      <c r="B477" s="308" t="s">
        <v>121</v>
      </c>
      <c r="C477" s="309"/>
      <c r="D477" s="310" t="s">
        <v>122</v>
      </c>
      <c r="E477" s="173"/>
      <c r="F477" s="173"/>
      <c r="G477" s="173"/>
      <c r="H477" s="173"/>
      <c r="I477" s="173"/>
    </row>
    <row r="478" spans="1:9" x14ac:dyDescent="0.25">
      <c r="A478" s="305"/>
      <c r="B478" s="145" t="s">
        <v>127</v>
      </c>
      <c r="C478" s="376"/>
      <c r="D478" s="256" t="s">
        <v>128</v>
      </c>
      <c r="E478" s="165">
        <f t="shared" ref="E478:I478" si="281">SUM(E479)</f>
        <v>0</v>
      </c>
      <c r="F478" s="165">
        <f t="shared" si="281"/>
        <v>0</v>
      </c>
      <c r="G478" s="165">
        <f t="shared" si="281"/>
        <v>0</v>
      </c>
      <c r="H478" s="165">
        <f t="shared" si="281"/>
        <v>0</v>
      </c>
      <c r="I478" s="165">
        <f t="shared" si="281"/>
        <v>0</v>
      </c>
    </row>
    <row r="479" spans="1:9" x14ac:dyDescent="0.25">
      <c r="A479" s="305"/>
      <c r="B479" s="145" t="s">
        <v>131</v>
      </c>
      <c r="C479" s="376"/>
      <c r="D479" s="256" t="s">
        <v>132</v>
      </c>
      <c r="E479" s="173"/>
      <c r="F479" s="173"/>
      <c r="G479" s="173"/>
      <c r="H479" s="173"/>
      <c r="I479" s="173"/>
    </row>
    <row r="480" spans="1:9" s="138" customFormat="1" x14ac:dyDescent="0.25">
      <c r="A480" s="305"/>
      <c r="B480" s="145" t="s">
        <v>220</v>
      </c>
      <c r="C480" s="376"/>
      <c r="D480" s="256" t="s">
        <v>221</v>
      </c>
      <c r="E480" s="165">
        <f t="shared" ref="E480:I481" si="282">E481</f>
        <v>8179.48</v>
      </c>
      <c r="F480" s="165">
        <f t="shared" si="282"/>
        <v>0</v>
      </c>
      <c r="G480" s="165">
        <f t="shared" si="282"/>
        <v>5500</v>
      </c>
      <c r="H480" s="165">
        <f t="shared" si="282"/>
        <v>5750</v>
      </c>
      <c r="I480" s="165">
        <f t="shared" si="282"/>
        <v>6000</v>
      </c>
    </row>
    <row r="481" spans="1:9" x14ac:dyDescent="0.25">
      <c r="A481" s="305"/>
      <c r="B481" s="145" t="s">
        <v>232</v>
      </c>
      <c r="C481" s="376"/>
      <c r="D481" s="256" t="s">
        <v>148</v>
      </c>
      <c r="E481" s="165">
        <f>E482</f>
        <v>8179.48</v>
      </c>
      <c r="F481" s="165">
        <f t="shared" si="282"/>
        <v>0</v>
      </c>
      <c r="G481" s="165">
        <f t="shared" si="282"/>
        <v>5500</v>
      </c>
      <c r="H481" s="165">
        <f t="shared" si="282"/>
        <v>5750</v>
      </c>
      <c r="I481" s="165">
        <f t="shared" si="282"/>
        <v>6000</v>
      </c>
    </row>
    <row r="482" spans="1:9" x14ac:dyDescent="0.25">
      <c r="A482" s="526"/>
      <c r="B482" s="150" t="s">
        <v>530</v>
      </c>
      <c r="C482" s="527"/>
      <c r="D482" s="257" t="s">
        <v>531</v>
      </c>
      <c r="E482" s="173">
        <f>'Rekapitulacija Posebni dio'!C364</f>
        <v>8179.48</v>
      </c>
      <c r="F482" s="173">
        <f>'Rekapitulacija Posebni dio'!D364</f>
        <v>0</v>
      </c>
      <c r="G482" s="173">
        <f>'Rekapitulacija Posebni dio'!E364</f>
        <v>5500</v>
      </c>
      <c r="H482" s="173">
        <f>'Rekapitulacija Posebni dio'!F364</f>
        <v>5750</v>
      </c>
      <c r="I482" s="173">
        <f>'Rekapitulacija Posebni dio'!G364</f>
        <v>6000</v>
      </c>
    </row>
    <row r="483" spans="1:9" s="347" customFormat="1" x14ac:dyDescent="0.25">
      <c r="A483" s="377">
        <v>4</v>
      </c>
      <c r="B483" s="378"/>
      <c r="C483" s="378"/>
      <c r="D483" s="261" t="s">
        <v>175</v>
      </c>
      <c r="E483" s="298">
        <f t="shared" ref="E483:I483" si="283">E484</f>
        <v>618.75</v>
      </c>
      <c r="F483" s="298">
        <f t="shared" si="283"/>
        <v>5500</v>
      </c>
      <c r="G483" s="298">
        <f t="shared" si="283"/>
        <v>0</v>
      </c>
      <c r="H483" s="298">
        <f t="shared" si="283"/>
        <v>0</v>
      </c>
      <c r="I483" s="298">
        <f t="shared" si="283"/>
        <v>0</v>
      </c>
    </row>
    <row r="484" spans="1:9" x14ac:dyDescent="0.25">
      <c r="A484" s="202"/>
      <c r="B484" s="141">
        <v>42</v>
      </c>
      <c r="C484" s="215"/>
      <c r="D484" s="233" t="s">
        <v>184</v>
      </c>
      <c r="E484" s="144">
        <f t="shared" ref="E484" si="284">SUM(E487,E485)</f>
        <v>618.75</v>
      </c>
      <c r="F484" s="144">
        <f t="shared" ref="F484:I484" si="285">SUM(F487,F485)</f>
        <v>5500</v>
      </c>
      <c r="G484" s="144">
        <f t="shared" si="285"/>
        <v>0</v>
      </c>
      <c r="H484" s="144">
        <f t="shared" si="285"/>
        <v>0</v>
      </c>
      <c r="I484" s="144">
        <f t="shared" si="285"/>
        <v>0</v>
      </c>
    </row>
    <row r="485" spans="1:9" x14ac:dyDescent="0.25">
      <c r="A485" s="202"/>
      <c r="B485" s="162" t="s">
        <v>207</v>
      </c>
      <c r="C485" s="202"/>
      <c r="D485" s="256" t="s">
        <v>208</v>
      </c>
      <c r="E485" s="165">
        <f t="shared" ref="E485:I485" si="286">E486</f>
        <v>0</v>
      </c>
      <c r="F485" s="165">
        <f t="shared" si="286"/>
        <v>0</v>
      </c>
      <c r="G485" s="165">
        <f t="shared" si="286"/>
        <v>0</v>
      </c>
      <c r="H485" s="165">
        <f t="shared" si="286"/>
        <v>0</v>
      </c>
      <c r="I485" s="165">
        <f t="shared" si="286"/>
        <v>0</v>
      </c>
    </row>
    <row r="486" spans="1:9" x14ac:dyDescent="0.25">
      <c r="A486" s="234"/>
      <c r="B486" s="162" t="s">
        <v>209</v>
      </c>
      <c r="C486" s="202"/>
      <c r="D486" s="256" t="s">
        <v>210</v>
      </c>
      <c r="E486" s="173"/>
      <c r="F486" s="173"/>
      <c r="G486" s="173"/>
      <c r="H486" s="173"/>
      <c r="I486" s="173"/>
    </row>
    <row r="487" spans="1:9" x14ac:dyDescent="0.25">
      <c r="A487" s="324"/>
      <c r="B487" s="162">
        <v>422</v>
      </c>
      <c r="C487" s="202"/>
      <c r="D487" s="202" t="s">
        <v>185</v>
      </c>
      <c r="E487" s="169">
        <f t="shared" ref="E487:I488" si="287">SUM(E488)</f>
        <v>618.75</v>
      </c>
      <c r="F487" s="169">
        <f t="shared" si="287"/>
        <v>5500</v>
      </c>
      <c r="G487" s="169">
        <f t="shared" si="287"/>
        <v>0</v>
      </c>
      <c r="H487" s="169">
        <f t="shared" si="287"/>
        <v>0</v>
      </c>
      <c r="I487" s="169">
        <f t="shared" si="287"/>
        <v>0</v>
      </c>
    </row>
    <row r="488" spans="1:9" x14ac:dyDescent="0.25">
      <c r="A488" s="324"/>
      <c r="B488" s="162" t="s">
        <v>230</v>
      </c>
      <c r="C488" s="202"/>
      <c r="D488" s="202" t="s">
        <v>191</v>
      </c>
      <c r="E488" s="169">
        <f t="shared" si="287"/>
        <v>618.75</v>
      </c>
      <c r="F488" s="169">
        <f t="shared" si="287"/>
        <v>5500</v>
      </c>
      <c r="G488" s="169">
        <f t="shared" si="287"/>
        <v>0</v>
      </c>
      <c r="H488" s="169">
        <f t="shared" si="287"/>
        <v>0</v>
      </c>
      <c r="I488" s="169">
        <f t="shared" si="287"/>
        <v>0</v>
      </c>
    </row>
    <row r="489" spans="1:9" x14ac:dyDescent="0.25">
      <c r="A489" s="325"/>
      <c r="B489" s="235" t="s">
        <v>532</v>
      </c>
      <c r="C489" s="234"/>
      <c r="D489" s="357" t="s">
        <v>478</v>
      </c>
      <c r="E489" s="172">
        <f>'Rekapitulacija Posebni dio'!C373</f>
        <v>618.75</v>
      </c>
      <c r="F489" s="172">
        <f>'Rekapitulacija Posebni dio'!D373</f>
        <v>5500</v>
      </c>
      <c r="G489" s="172">
        <f>'Rekapitulacija Posebni dio'!E373</f>
        <v>0</v>
      </c>
      <c r="H489" s="172">
        <f>'Rekapitulacija Posebni dio'!F373</f>
        <v>0</v>
      </c>
      <c r="I489" s="172">
        <f>'Rekapitulacija Posebni dio'!G373</f>
        <v>0</v>
      </c>
    </row>
    <row r="490" spans="1:9" s="138" customFormat="1" x14ac:dyDescent="0.25">
      <c r="A490" s="379"/>
      <c r="B490" s="327" t="s">
        <v>233</v>
      </c>
      <c r="C490" s="217"/>
      <c r="D490" s="217" t="s">
        <v>195</v>
      </c>
      <c r="E490" s="328">
        <f t="shared" ref="E490:I490" si="288">E491</f>
        <v>0</v>
      </c>
      <c r="F490" s="328">
        <f t="shared" si="288"/>
        <v>0</v>
      </c>
      <c r="G490" s="328">
        <f t="shared" si="288"/>
        <v>0</v>
      </c>
      <c r="H490" s="328">
        <f t="shared" si="288"/>
        <v>0</v>
      </c>
      <c r="I490" s="328">
        <f t="shared" si="288"/>
        <v>0</v>
      </c>
    </row>
    <row r="491" spans="1:9" x14ac:dyDescent="0.25">
      <c r="A491" s="326"/>
      <c r="B491" s="327" t="s">
        <v>234</v>
      </c>
      <c r="C491" s="217"/>
      <c r="D491" s="217" t="s">
        <v>196</v>
      </c>
      <c r="E491" s="331"/>
      <c r="F491" s="331"/>
      <c r="G491" s="331"/>
      <c r="H491" s="331"/>
      <c r="I491" s="331"/>
    </row>
    <row r="492" spans="1:9" ht="32.25" thickBot="1" x14ac:dyDescent="0.3">
      <c r="A492" s="332"/>
      <c r="B492" s="333"/>
      <c r="C492" s="334" t="s">
        <v>235</v>
      </c>
      <c r="D492" s="335" t="s">
        <v>236</v>
      </c>
      <c r="E492" s="220">
        <f t="shared" ref="E492" si="289">SUM(E484,E474)</f>
        <v>8798.23</v>
      </c>
      <c r="F492" s="220">
        <f t="shared" ref="F492:I492" si="290">SUM(F484,F474)</f>
        <v>5500</v>
      </c>
      <c r="G492" s="220">
        <f t="shared" si="290"/>
        <v>5500</v>
      </c>
      <c r="H492" s="220">
        <f t="shared" si="290"/>
        <v>5750</v>
      </c>
      <c r="I492" s="220">
        <f t="shared" si="290"/>
        <v>6000</v>
      </c>
    </row>
    <row r="493" spans="1:9" ht="16.5" thickBot="1" x14ac:dyDescent="0.3">
      <c r="A493" s="593" t="s">
        <v>237</v>
      </c>
      <c r="B493" s="594"/>
      <c r="C493" s="594"/>
      <c r="D493" s="595"/>
      <c r="E493" s="126">
        <f>E11+E58+E181+E332+E75+E159+E367+E416+E448+E462+E474+E483</f>
        <v>5931700.1700000009</v>
      </c>
      <c r="F493" s="126">
        <f t="shared" ref="F493:I493" si="291">F11+F58+F181+F332+F75+F159+F367+F416+F448+F462+F474+F483</f>
        <v>4614031.7700000005</v>
      </c>
      <c r="G493" s="126">
        <f t="shared" si="291"/>
        <v>5674498.2299999995</v>
      </c>
      <c r="H493" s="126">
        <f t="shared" si="291"/>
        <v>5750359.5900000008</v>
      </c>
      <c r="I493" s="126">
        <f t="shared" si="291"/>
        <v>5794611.330000001</v>
      </c>
    </row>
    <row r="494" spans="1:9" x14ac:dyDescent="0.25">
      <c r="D494" s="245"/>
      <c r="E494" s="245"/>
      <c r="F494" s="245"/>
      <c r="I494" s="352"/>
    </row>
    <row r="495" spans="1:9" x14ac:dyDescent="0.25">
      <c r="H495" s="340"/>
      <c r="I495" s="341"/>
    </row>
    <row r="497" spans="4:9" x14ac:dyDescent="0.25">
      <c r="D497" s="174"/>
      <c r="E497" s="174"/>
      <c r="F497" s="174"/>
      <c r="G497" s="342"/>
      <c r="I497" s="343"/>
    </row>
    <row r="498" spans="4:9" x14ac:dyDescent="0.25">
      <c r="D498" s="174"/>
      <c r="E498" s="174"/>
      <c r="F498" s="174"/>
      <c r="G498" s="342"/>
      <c r="H498" s="200"/>
    </row>
    <row r="499" spans="4:9" x14ac:dyDescent="0.25">
      <c r="D499" s="245"/>
      <c r="E499" s="245"/>
      <c r="F499" s="245"/>
      <c r="G499" s="342"/>
    </row>
  </sheetData>
  <mergeCells count="6">
    <mergeCell ref="A493:D493"/>
    <mergeCell ref="A1:I1"/>
    <mergeCell ref="A2:I2"/>
    <mergeCell ref="A3:I3"/>
    <mergeCell ref="A5:I5"/>
    <mergeCell ref="A7:D7"/>
  </mergeCells>
  <pageMargins left="0.7" right="0.7" top="0.75" bottom="0.75" header="0.3" footer="0.3"/>
  <pageSetup paperSize="9" scale="65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8B9D5-6C9A-4D7F-ABBD-E6DB44D20730}">
  <sheetPr>
    <pageSetUpPr fitToPage="1"/>
  </sheetPr>
  <dimension ref="A3:F35"/>
  <sheetViews>
    <sheetView topLeftCell="A4" workbookViewId="0">
      <selection activeCell="C30" sqref="C30"/>
    </sheetView>
  </sheetViews>
  <sheetFormatPr defaultRowHeight="15.75" x14ac:dyDescent="0.25"/>
  <cols>
    <col min="1" max="1" width="39.42578125" style="6" customWidth="1"/>
    <col min="2" max="3" width="21.42578125" style="6" customWidth="1"/>
    <col min="4" max="6" width="20" style="6" customWidth="1"/>
    <col min="7" max="16384" width="9.140625" style="6"/>
  </cols>
  <sheetData>
    <row r="3" spans="1:6" ht="15.75" customHeight="1" x14ac:dyDescent="0.25">
      <c r="A3" s="599" t="s">
        <v>390</v>
      </c>
      <c r="B3" s="599"/>
      <c r="C3" s="599"/>
      <c r="D3" s="599"/>
      <c r="E3" s="599"/>
      <c r="F3" s="599"/>
    </row>
    <row r="5" spans="1:6" ht="31.5" x14ac:dyDescent="0.25">
      <c r="A5" s="380" t="s">
        <v>266</v>
      </c>
      <c r="B5" s="127" t="s">
        <v>567</v>
      </c>
      <c r="C5" s="127" t="s">
        <v>571</v>
      </c>
      <c r="D5" s="344" t="s">
        <v>569</v>
      </c>
      <c r="E5" s="116" t="s">
        <v>570</v>
      </c>
      <c r="F5" s="117" t="s">
        <v>568</v>
      </c>
    </row>
    <row r="6" spans="1:6" x14ac:dyDescent="0.25">
      <c r="A6" s="381" t="s">
        <v>391</v>
      </c>
      <c r="B6" s="382">
        <f t="shared" ref="B6:C6" si="0">B7+B9+B11+B15+B17+B19</f>
        <v>5100997.3000000007</v>
      </c>
      <c r="C6" s="382">
        <f t="shared" si="0"/>
        <v>5178957.9200000009</v>
      </c>
      <c r="D6" s="382">
        <f>D7+D9+D11+D15+D17+D19</f>
        <v>5420091.0800000001</v>
      </c>
      <c r="E6" s="382">
        <f t="shared" ref="E6:F6" si="1">E7+E9+E11+E15+E17+E19</f>
        <v>5902923.1899999995</v>
      </c>
      <c r="F6" s="382">
        <f t="shared" si="1"/>
        <v>6174587.6399999997</v>
      </c>
    </row>
    <row r="7" spans="1:6" x14ac:dyDescent="0.25">
      <c r="A7" s="383" t="s">
        <v>392</v>
      </c>
      <c r="B7" s="384">
        <f t="shared" ref="B7:C7" si="2">B8</f>
        <v>397160.43000000005</v>
      </c>
      <c r="C7" s="384">
        <f t="shared" si="2"/>
        <v>561264.02</v>
      </c>
      <c r="D7" s="384">
        <f>D8</f>
        <v>358264.02</v>
      </c>
      <c r="E7" s="384">
        <f t="shared" ref="E7:F7" si="3">E8</f>
        <v>358264.02</v>
      </c>
      <c r="F7" s="384">
        <f t="shared" si="3"/>
        <v>358264.02</v>
      </c>
    </row>
    <row r="8" spans="1:6" x14ac:dyDescent="0.25">
      <c r="A8" s="385" t="s">
        <v>398</v>
      </c>
      <c r="B8" s="386">
        <f>'Prihodi po ek klas i izvorima'!E15</f>
        <v>397160.43000000005</v>
      </c>
      <c r="C8" s="386">
        <f>'Prihodi po ek klas i izvorima'!F15</f>
        <v>561264.02</v>
      </c>
      <c r="D8" s="386">
        <f>'Prihodi po ek klas i izvorima'!G15</f>
        <v>358264.02</v>
      </c>
      <c r="E8" s="386">
        <f>'Prihodi po ek klas i izvorima'!H15</f>
        <v>358264.02</v>
      </c>
      <c r="F8" s="386">
        <f>'Prihodi po ek klas i izvorima'!I15</f>
        <v>358264.02</v>
      </c>
    </row>
    <row r="9" spans="1:6" x14ac:dyDescent="0.25">
      <c r="A9" s="383" t="s">
        <v>393</v>
      </c>
      <c r="B9" s="384">
        <f t="shared" ref="B9:C9" si="4">B10</f>
        <v>140194.37000000002</v>
      </c>
      <c r="C9" s="384">
        <f t="shared" si="4"/>
        <v>199283.29</v>
      </c>
      <c r="D9" s="384">
        <f>D10</f>
        <v>163316.33000000002</v>
      </c>
      <c r="E9" s="384">
        <f t="shared" ref="E9:F9" si="5">E10</f>
        <v>163316.33000000002</v>
      </c>
      <c r="F9" s="384">
        <f t="shared" si="5"/>
        <v>163316.33000000002</v>
      </c>
    </row>
    <row r="10" spans="1:6" x14ac:dyDescent="0.25">
      <c r="A10" s="385" t="s">
        <v>399</v>
      </c>
      <c r="B10" s="386">
        <f>'Prihodi po ek klas i izvorima'!E33</f>
        <v>140194.37000000002</v>
      </c>
      <c r="C10" s="386">
        <f>'Prihodi po ek klas i izvorima'!F33</f>
        <v>199283.29</v>
      </c>
      <c r="D10" s="386">
        <f>'Prihodi po ek klas i izvorima'!G33</f>
        <v>163316.33000000002</v>
      </c>
      <c r="E10" s="386">
        <f>'Prihodi po ek klas i izvorima'!H33</f>
        <v>163316.33000000002</v>
      </c>
      <c r="F10" s="386">
        <f>'Prihodi po ek klas i izvorima'!I33</f>
        <v>163316.33000000002</v>
      </c>
    </row>
    <row r="11" spans="1:6" x14ac:dyDescent="0.25">
      <c r="A11" s="387" t="s">
        <v>394</v>
      </c>
      <c r="B11" s="384">
        <f t="shared" ref="B11:C11" si="6">SUM(B12:B14)</f>
        <v>4219254.62</v>
      </c>
      <c r="C11" s="384">
        <f t="shared" si="6"/>
        <v>3949596.66</v>
      </c>
      <c r="D11" s="384">
        <f>SUM(D12:D14)</f>
        <v>4660586.9000000004</v>
      </c>
      <c r="E11" s="384">
        <f t="shared" ref="E11:F11" si="7">SUM(E12:E14)</f>
        <v>5202643.3499999996</v>
      </c>
      <c r="F11" s="384">
        <f t="shared" si="7"/>
        <v>5473818.7999999998</v>
      </c>
    </row>
    <row r="12" spans="1:6" x14ac:dyDescent="0.25">
      <c r="A12" s="388" t="s">
        <v>400</v>
      </c>
      <c r="B12" s="386">
        <f>'Prihodi po ek klas i izvorima'!E42</f>
        <v>4148754.73</v>
      </c>
      <c r="C12" s="386">
        <f>'Prihodi po ek klas i izvorima'!F42</f>
        <v>3899096.66</v>
      </c>
      <c r="D12" s="386">
        <f>'Prihodi po ek klas i izvorima'!G42</f>
        <v>4599086.9000000004</v>
      </c>
      <c r="E12" s="386">
        <f>'Prihodi po ek klas i izvorima'!H42</f>
        <v>5137268.3499999996</v>
      </c>
      <c r="F12" s="386">
        <f>'Prihodi po ek klas i izvorima'!I42</f>
        <v>5405449.7999999998</v>
      </c>
    </row>
    <row r="13" spans="1:6" ht="31.5" x14ac:dyDescent="0.25">
      <c r="A13" s="389" t="s">
        <v>401</v>
      </c>
      <c r="B13" s="386">
        <f>'Prihodi po ek klas i izvorima'!E37</f>
        <v>69787.179999999993</v>
      </c>
      <c r="C13" s="386">
        <f>'Prihodi po ek klas i izvorima'!F37</f>
        <v>47500</v>
      </c>
      <c r="D13" s="386">
        <f>'Prihodi po ek klas i izvorima'!G37</f>
        <v>58500</v>
      </c>
      <c r="E13" s="386">
        <f>'Prihodi po ek klas i izvorima'!H37</f>
        <v>62375</v>
      </c>
      <c r="F13" s="386">
        <f>'Prihodi po ek klas i izvorima'!I37</f>
        <v>65369</v>
      </c>
    </row>
    <row r="14" spans="1:6" x14ac:dyDescent="0.25">
      <c r="A14" s="388" t="s">
        <v>402</v>
      </c>
      <c r="B14" s="386">
        <f>'Prihodi po ek klas i izvorima'!E49</f>
        <v>712.71</v>
      </c>
      <c r="C14" s="386">
        <f>'Prihodi po ek klas i izvorima'!F49</f>
        <v>3000</v>
      </c>
      <c r="D14" s="386">
        <f>'Prihodi po ek klas i izvorima'!G49</f>
        <v>3000</v>
      </c>
      <c r="E14" s="386">
        <f>'Prihodi po ek klas i izvorima'!H49</f>
        <v>3000</v>
      </c>
      <c r="F14" s="386">
        <f>'Prihodi po ek klas i izvorima'!I49</f>
        <v>3000</v>
      </c>
    </row>
    <row r="15" spans="1:6" x14ac:dyDescent="0.25">
      <c r="A15" s="390" t="s">
        <v>395</v>
      </c>
      <c r="B15" s="384">
        <f t="shared" ref="B15:C15" si="8">B16</f>
        <v>331632.40000000002</v>
      </c>
      <c r="C15" s="384">
        <f t="shared" si="8"/>
        <v>412013.94999999995</v>
      </c>
      <c r="D15" s="384">
        <f>D16</f>
        <v>231423.83000000002</v>
      </c>
      <c r="E15" s="384">
        <f t="shared" ref="E15:F15" si="9">E16</f>
        <v>171724.49</v>
      </c>
      <c r="F15" s="384">
        <f t="shared" si="9"/>
        <v>171724.49</v>
      </c>
    </row>
    <row r="16" spans="1:6" x14ac:dyDescent="0.25">
      <c r="A16" s="388" t="s">
        <v>403</v>
      </c>
      <c r="B16" s="386">
        <f>'Prihodi po ek klas i izvorima'!E54</f>
        <v>331632.40000000002</v>
      </c>
      <c r="C16" s="386">
        <f>'Prihodi po ek klas i izvorima'!F54</f>
        <v>412013.94999999995</v>
      </c>
      <c r="D16" s="386">
        <f>'Prihodi po ek klas i izvorima'!G54</f>
        <v>231423.83000000002</v>
      </c>
      <c r="E16" s="386">
        <f>'Prihodi po ek klas i izvorima'!H54</f>
        <v>171724.49</v>
      </c>
      <c r="F16" s="386">
        <f>'Prihodi po ek klas i izvorima'!I54</f>
        <v>171724.49</v>
      </c>
    </row>
    <row r="17" spans="1:6" x14ac:dyDescent="0.25">
      <c r="A17" s="390" t="s">
        <v>396</v>
      </c>
      <c r="B17" s="384">
        <f t="shared" ref="B17:C17" si="10">B18</f>
        <v>3957.25</v>
      </c>
      <c r="C17" s="384">
        <f t="shared" si="10"/>
        <v>50500</v>
      </c>
      <c r="D17" s="384">
        <f>D18</f>
        <v>1000</v>
      </c>
      <c r="E17" s="384">
        <f t="shared" ref="E17:F17" si="11">E18</f>
        <v>1200</v>
      </c>
      <c r="F17" s="384">
        <f t="shared" si="11"/>
        <v>1400</v>
      </c>
    </row>
    <row r="18" spans="1:6" x14ac:dyDescent="0.25">
      <c r="A18" s="388" t="s">
        <v>404</v>
      </c>
      <c r="B18" s="386">
        <f>'Prihodi po ek klas i izvorima'!E79</f>
        <v>3957.25</v>
      </c>
      <c r="C18" s="386">
        <f>'Prihodi po ek klas i izvorima'!F79</f>
        <v>50500</v>
      </c>
      <c r="D18" s="386">
        <f>'Prihodi po ek klas i izvorima'!G79</f>
        <v>1000</v>
      </c>
      <c r="E18" s="386">
        <f>'Prihodi po ek klas i izvorima'!H79</f>
        <v>1200</v>
      </c>
      <c r="F18" s="386">
        <f>'Prihodi po ek klas i izvorima'!I79</f>
        <v>1400</v>
      </c>
    </row>
    <row r="19" spans="1:6" ht="31.5" x14ac:dyDescent="0.25">
      <c r="A19" s="391" t="s">
        <v>397</v>
      </c>
      <c r="B19" s="384">
        <f t="shared" ref="B19:C19" si="12">B20</f>
        <v>8798.23</v>
      </c>
      <c r="C19" s="384">
        <f t="shared" si="12"/>
        <v>6300</v>
      </c>
      <c r="D19" s="384">
        <f>D20</f>
        <v>5500</v>
      </c>
      <c r="E19" s="384">
        <f t="shared" ref="E19:F19" si="13">E20</f>
        <v>5775</v>
      </c>
      <c r="F19" s="384">
        <f t="shared" si="13"/>
        <v>6064</v>
      </c>
    </row>
    <row r="20" spans="1:6" ht="31.5" x14ac:dyDescent="0.25">
      <c r="A20" s="389" t="s">
        <v>405</v>
      </c>
      <c r="B20" s="392">
        <f>'Prihodi po ek klas i izvorima'!E84+'Prihodi po ek klas i izvorima'!E92</f>
        <v>8798.23</v>
      </c>
      <c r="C20" s="392">
        <f>'Prihodi po ek klas i izvorima'!F84+'Prihodi po ek klas i izvorima'!F92</f>
        <v>6300</v>
      </c>
      <c r="D20" s="392">
        <f>'Prihodi po ek klas i izvorima'!G84+'Prihodi po ek klas i izvorima'!G92</f>
        <v>5500</v>
      </c>
      <c r="E20" s="392">
        <f>'Prihodi po ek klas i izvorima'!H84+'Prihodi po ek klas i izvorima'!H92</f>
        <v>5775</v>
      </c>
      <c r="F20" s="392">
        <f>'Prihodi po ek klas i izvorima'!I84+'Prihodi po ek klas i izvorima'!I92</f>
        <v>6064</v>
      </c>
    </row>
    <row r="21" spans="1:6" x14ac:dyDescent="0.25">
      <c r="A21" s="388"/>
      <c r="B21" s="393"/>
      <c r="C21" s="393"/>
      <c r="D21" s="393"/>
      <c r="E21" s="393"/>
      <c r="F21" s="393"/>
    </row>
    <row r="22" spans="1:6" x14ac:dyDescent="0.25">
      <c r="A22" s="388"/>
      <c r="B22" s="393"/>
      <c r="C22" s="393"/>
      <c r="D22" s="393"/>
      <c r="E22" s="393"/>
      <c r="F22" s="393"/>
    </row>
    <row r="23" spans="1:6" x14ac:dyDescent="0.25">
      <c r="A23" s="381" t="s">
        <v>378</v>
      </c>
      <c r="B23" s="382">
        <f t="shared" ref="B23:C23" si="14">B24+B26+B28+B30+B32+B34</f>
        <v>5931700.1700000009</v>
      </c>
      <c r="C23" s="382">
        <f t="shared" si="14"/>
        <v>4614031.7700000005</v>
      </c>
      <c r="D23" s="382">
        <f>D24+D26+D28+D30+D32+D34</f>
        <v>5674498.2299999995</v>
      </c>
      <c r="E23" s="382">
        <f t="shared" ref="E23:F23" si="15">E24+E26+E28+E30+E32+E34</f>
        <v>5750359.5899999999</v>
      </c>
      <c r="F23" s="382">
        <f t="shared" si="15"/>
        <v>5794611.3300000001</v>
      </c>
    </row>
    <row r="24" spans="1:6" x14ac:dyDescent="0.25">
      <c r="A24" s="383" t="s">
        <v>392</v>
      </c>
      <c r="B24" s="394">
        <f t="shared" ref="B24:C24" si="16">B25</f>
        <v>397160.43</v>
      </c>
      <c r="C24" s="394">
        <f t="shared" si="16"/>
        <v>561264.02</v>
      </c>
      <c r="D24" s="394">
        <f>D25</f>
        <v>358264.02</v>
      </c>
      <c r="E24" s="394">
        <f t="shared" ref="E24:F24" si="17">E25</f>
        <v>358264.02</v>
      </c>
      <c r="F24" s="394">
        <f t="shared" si="17"/>
        <v>358264.02</v>
      </c>
    </row>
    <row r="25" spans="1:6" x14ac:dyDescent="0.25">
      <c r="A25" s="385" t="s">
        <v>398</v>
      </c>
      <c r="B25" s="393">
        <f>' PRIHODI I RASHODI-izvori'!E74</f>
        <v>397160.43</v>
      </c>
      <c r="C25" s="393">
        <f>' PRIHODI I RASHODI-izvori'!F74</f>
        <v>561264.02</v>
      </c>
      <c r="D25" s="393">
        <f>' PRIHODI I RASHODI-izvori'!G74</f>
        <v>358264.02</v>
      </c>
      <c r="E25" s="393">
        <f>' PRIHODI I RASHODI-izvori'!H74</f>
        <v>358264.02</v>
      </c>
      <c r="F25" s="393">
        <f>' PRIHODI I RASHODI-izvori'!I74</f>
        <v>358264.02</v>
      </c>
    </row>
    <row r="26" spans="1:6" x14ac:dyDescent="0.25">
      <c r="A26" s="383" t="s">
        <v>393</v>
      </c>
      <c r="B26" s="394">
        <f t="shared" ref="B26:C26" si="18">B27</f>
        <v>140194.37</v>
      </c>
      <c r="C26" s="394">
        <f t="shared" si="18"/>
        <v>163116.33000000002</v>
      </c>
      <c r="D26" s="394">
        <f>D27</f>
        <v>163116.33000000002</v>
      </c>
      <c r="E26" s="394">
        <f t="shared" ref="E26:F26" si="19">E27</f>
        <v>163116.33000000002</v>
      </c>
      <c r="F26" s="394">
        <f t="shared" si="19"/>
        <v>163116.33000000002</v>
      </c>
    </row>
    <row r="27" spans="1:6" x14ac:dyDescent="0.25">
      <c r="A27" s="385" t="s">
        <v>399</v>
      </c>
      <c r="B27" s="393">
        <f>' PRIHODI I RASHODI-izvori'!E180</f>
        <v>140194.37</v>
      </c>
      <c r="C27" s="393">
        <f>' PRIHODI I RASHODI-izvori'!F180</f>
        <v>163116.33000000002</v>
      </c>
      <c r="D27" s="393">
        <f>' PRIHODI I RASHODI-izvori'!G180</f>
        <v>163116.33000000002</v>
      </c>
      <c r="E27" s="393">
        <f>' PRIHODI I RASHODI-izvori'!H180</f>
        <v>163116.33000000002</v>
      </c>
      <c r="F27" s="393">
        <f>' PRIHODI I RASHODI-izvori'!I180</f>
        <v>163116.33000000002</v>
      </c>
    </row>
    <row r="28" spans="1:6" x14ac:dyDescent="0.25">
      <c r="A28" s="387" t="s">
        <v>394</v>
      </c>
      <c r="B28" s="394">
        <f t="shared" ref="B28:C28" si="20">B29</f>
        <v>4777402.2700000005</v>
      </c>
      <c r="C28" s="394">
        <f t="shared" si="20"/>
        <v>3705637.47</v>
      </c>
      <c r="D28" s="394">
        <f>D29</f>
        <v>4915694.05</v>
      </c>
      <c r="E28" s="394">
        <f t="shared" ref="E28:F28" si="21">E29</f>
        <v>5005105.41</v>
      </c>
      <c r="F28" s="394">
        <f t="shared" si="21"/>
        <v>5094606.49</v>
      </c>
    </row>
    <row r="29" spans="1:6" x14ac:dyDescent="0.25">
      <c r="A29" s="388" t="s">
        <v>406</v>
      </c>
      <c r="B29" s="393">
        <f>' PRIHODI I RASHODI-izvori'!E366</f>
        <v>4777402.2700000005</v>
      </c>
      <c r="C29" s="393">
        <f>' PRIHODI I RASHODI-izvori'!F366</f>
        <v>3705637.47</v>
      </c>
      <c r="D29" s="393">
        <f>' PRIHODI I RASHODI-izvori'!G366</f>
        <v>4915694.05</v>
      </c>
      <c r="E29" s="393">
        <f>' PRIHODI I RASHODI-izvori'!H366</f>
        <v>5005105.41</v>
      </c>
      <c r="F29" s="393">
        <f>' PRIHODI I RASHODI-izvori'!I366</f>
        <v>5094606.49</v>
      </c>
    </row>
    <row r="30" spans="1:6" x14ac:dyDescent="0.25">
      <c r="A30" s="390" t="s">
        <v>395</v>
      </c>
      <c r="B30" s="394">
        <f t="shared" ref="B30:C30" si="22">B31</f>
        <v>604187.62</v>
      </c>
      <c r="C30" s="394">
        <f t="shared" si="22"/>
        <v>128013.94999999998</v>
      </c>
      <c r="D30" s="394">
        <f>D31</f>
        <v>230923.83000000002</v>
      </c>
      <c r="E30" s="394">
        <f t="shared" ref="E30:F30" si="23">E31</f>
        <v>216923.83000000002</v>
      </c>
      <c r="F30" s="394">
        <f t="shared" si="23"/>
        <v>171224.49</v>
      </c>
    </row>
    <row r="31" spans="1:6" x14ac:dyDescent="0.25">
      <c r="A31" s="388" t="s">
        <v>403</v>
      </c>
      <c r="B31" s="393">
        <f>' PRIHODI I RASHODI-izvori'!E422</f>
        <v>604187.62</v>
      </c>
      <c r="C31" s="393">
        <f>' PRIHODI I RASHODI-izvori'!F422</f>
        <v>128013.94999999998</v>
      </c>
      <c r="D31" s="393">
        <f>' PRIHODI I RASHODI-izvori'!G422</f>
        <v>230923.83000000002</v>
      </c>
      <c r="E31" s="393">
        <f>' PRIHODI I RASHODI-izvori'!H422</f>
        <v>216923.83000000002</v>
      </c>
      <c r="F31" s="393">
        <f>' PRIHODI I RASHODI-izvori'!I422</f>
        <v>171224.49</v>
      </c>
    </row>
    <row r="32" spans="1:6" x14ac:dyDescent="0.25">
      <c r="A32" s="390" t="s">
        <v>396</v>
      </c>
      <c r="B32" s="394">
        <f t="shared" ref="B32:C32" si="24">B33</f>
        <v>3957.25</v>
      </c>
      <c r="C32" s="394">
        <f t="shared" si="24"/>
        <v>50500</v>
      </c>
      <c r="D32" s="394">
        <f>D33</f>
        <v>1000</v>
      </c>
      <c r="E32" s="394">
        <f t="shared" ref="E32:F32" si="25">E33</f>
        <v>1200</v>
      </c>
      <c r="F32" s="394">
        <f t="shared" si="25"/>
        <v>1400</v>
      </c>
    </row>
    <row r="33" spans="1:6" x14ac:dyDescent="0.25">
      <c r="A33" s="388" t="s">
        <v>404</v>
      </c>
      <c r="B33" s="393">
        <f>' PRIHODI I RASHODI-izvori'!E473</f>
        <v>3957.25</v>
      </c>
      <c r="C33" s="393">
        <f>' PRIHODI I RASHODI-izvori'!F473</f>
        <v>50500</v>
      </c>
      <c r="D33" s="393">
        <f>' PRIHODI I RASHODI-izvori'!G473</f>
        <v>1000</v>
      </c>
      <c r="E33" s="393">
        <f>' PRIHODI I RASHODI-izvori'!H473</f>
        <v>1200</v>
      </c>
      <c r="F33" s="393">
        <f>' PRIHODI I RASHODI-izvori'!I473</f>
        <v>1400</v>
      </c>
    </row>
    <row r="34" spans="1:6" ht="31.5" x14ac:dyDescent="0.25">
      <c r="A34" s="391" t="s">
        <v>397</v>
      </c>
      <c r="B34" s="395">
        <f t="shared" ref="B34:C34" si="26">B35</f>
        <v>8798.23</v>
      </c>
      <c r="C34" s="395">
        <f t="shared" si="26"/>
        <v>5500</v>
      </c>
      <c r="D34" s="395">
        <f>D35</f>
        <v>5500</v>
      </c>
      <c r="E34" s="395">
        <f t="shared" ref="E34:F34" si="27">E35</f>
        <v>5750</v>
      </c>
      <c r="F34" s="395">
        <f t="shared" si="27"/>
        <v>6000</v>
      </c>
    </row>
    <row r="35" spans="1:6" ht="31.5" x14ac:dyDescent="0.25">
      <c r="A35" s="396" t="s">
        <v>405</v>
      </c>
      <c r="B35" s="393">
        <f>' PRIHODI I RASHODI-izvori'!E492</f>
        <v>8798.23</v>
      </c>
      <c r="C35" s="393">
        <f>' PRIHODI I RASHODI-izvori'!F492</f>
        <v>5500</v>
      </c>
      <c r="D35" s="393">
        <f>' PRIHODI I RASHODI-izvori'!G492</f>
        <v>5500</v>
      </c>
      <c r="E35" s="393">
        <f>' PRIHODI I RASHODI-izvori'!H492</f>
        <v>5750</v>
      </c>
      <c r="F35" s="393">
        <f>' PRIHODI I RASHODI-izvori'!I492</f>
        <v>6000</v>
      </c>
    </row>
  </sheetData>
  <mergeCells count="1">
    <mergeCell ref="A3:F3"/>
  </mergeCells>
  <pageMargins left="0.7" right="0.7" top="0.75" bottom="0.75" header="0.3" footer="0.3"/>
  <pageSetup paperSize="9" scale="87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A0A01-3D45-43EA-AF5E-300861368A12}">
  <dimension ref="A1:G21"/>
  <sheetViews>
    <sheetView workbookViewId="0">
      <selection activeCell="E29" sqref="E29"/>
    </sheetView>
  </sheetViews>
  <sheetFormatPr defaultColWidth="16.85546875" defaultRowHeight="15.75" x14ac:dyDescent="0.25"/>
  <cols>
    <col min="1" max="1" width="34.42578125" style="75" customWidth="1"/>
    <col min="2" max="2" width="16.85546875" style="75" customWidth="1"/>
    <col min="3" max="3" width="19.28515625" style="75" customWidth="1"/>
    <col min="4" max="4" width="16.85546875" style="75"/>
    <col min="5" max="5" width="18.28515625" style="75" customWidth="1"/>
    <col min="6" max="6" width="18.85546875" style="75" customWidth="1"/>
    <col min="7" max="16384" width="16.85546875" style="75"/>
  </cols>
  <sheetData>
    <row r="1" spans="1:7" x14ac:dyDescent="0.25">
      <c r="A1" s="596"/>
      <c r="B1" s="596"/>
      <c r="C1" s="596"/>
      <c r="D1" s="596"/>
      <c r="E1" s="596"/>
      <c r="F1" s="596"/>
      <c r="G1" s="495"/>
    </row>
    <row r="2" spans="1:7" x14ac:dyDescent="0.25">
      <c r="A2" s="596" t="s">
        <v>0</v>
      </c>
      <c r="B2" s="596"/>
      <c r="C2" s="596"/>
      <c r="D2" s="596"/>
      <c r="E2" s="596"/>
      <c r="F2" s="596"/>
    </row>
    <row r="3" spans="1:7" x14ac:dyDescent="0.25">
      <c r="A3" s="111"/>
      <c r="B3" s="111"/>
      <c r="C3" s="111"/>
      <c r="D3" s="111"/>
      <c r="E3" s="111"/>
      <c r="F3" s="111"/>
    </row>
    <row r="4" spans="1:7" x14ac:dyDescent="0.25">
      <c r="A4" s="596" t="s">
        <v>376</v>
      </c>
      <c r="B4" s="596"/>
      <c r="C4" s="596"/>
      <c r="D4" s="596"/>
      <c r="E4" s="596"/>
      <c r="F4" s="600"/>
    </row>
    <row r="5" spans="1:7" x14ac:dyDescent="0.25">
      <c r="A5" s="111"/>
      <c r="B5" s="111"/>
      <c r="C5" s="111"/>
      <c r="D5" s="111"/>
      <c r="E5" s="111"/>
      <c r="F5" s="111"/>
    </row>
    <row r="6" spans="1:7" x14ac:dyDescent="0.25">
      <c r="A6" s="596" t="s">
        <v>377</v>
      </c>
      <c r="B6" s="596"/>
      <c r="C6" s="596"/>
      <c r="D6" s="596"/>
      <c r="E6" s="596"/>
      <c r="F6" s="601"/>
    </row>
    <row r="7" spans="1:7" x14ac:dyDescent="0.25">
      <c r="A7" s="111"/>
      <c r="B7" s="111"/>
      <c r="C7" s="111"/>
      <c r="D7" s="111"/>
      <c r="E7" s="111"/>
      <c r="F7" s="111"/>
    </row>
    <row r="8" spans="1:7" ht="47.25" x14ac:dyDescent="0.25">
      <c r="A8" s="380" t="s">
        <v>266</v>
      </c>
      <c r="B8" s="127" t="s">
        <v>567</v>
      </c>
      <c r="C8" s="127" t="s">
        <v>571</v>
      </c>
      <c r="D8" s="344" t="s">
        <v>569</v>
      </c>
      <c r="E8" s="116" t="s">
        <v>570</v>
      </c>
      <c r="F8" s="117" t="s">
        <v>568</v>
      </c>
    </row>
    <row r="9" spans="1:7" s="501" customFormat="1" x14ac:dyDescent="0.25">
      <c r="A9" s="497">
        <v>1</v>
      </c>
      <c r="B9" s="497">
        <v>2</v>
      </c>
      <c r="C9" s="497">
        <v>3</v>
      </c>
      <c r="D9" s="498">
        <v>4</v>
      </c>
      <c r="E9" s="499">
        <v>5</v>
      </c>
      <c r="F9" s="500">
        <v>6</v>
      </c>
    </row>
    <row r="10" spans="1:7" s="501" customFormat="1" x14ac:dyDescent="0.25">
      <c r="A10" s="381" t="s">
        <v>378</v>
      </c>
      <c r="B10" s="382">
        <f>'RASHODI-ek.kl.'!D245</f>
        <v>5931700.1700000009</v>
      </c>
      <c r="C10" s="382">
        <f>'RASHODI-ek.kl.'!E245</f>
        <v>4614031.7699999996</v>
      </c>
      <c r="D10" s="382">
        <f>'RASHODI-ek.kl.'!F245</f>
        <v>5674498.2300000004</v>
      </c>
      <c r="E10" s="502">
        <f>'RASHODI-ek.kl.'!G245</f>
        <v>5750359.5899999999</v>
      </c>
      <c r="F10" s="502">
        <f>'RASHODI-ek.kl.'!H245</f>
        <v>5794611.3300000001</v>
      </c>
    </row>
    <row r="11" spans="1:7" s="90" customFormat="1" x14ac:dyDescent="0.25">
      <c r="A11" s="383" t="s">
        <v>379</v>
      </c>
      <c r="B11" s="384">
        <f t="shared" ref="B11:C11" si="0">B12</f>
        <v>5931700.1699999999</v>
      </c>
      <c r="C11" s="384">
        <f t="shared" si="0"/>
        <v>4614031.7699999996</v>
      </c>
      <c r="D11" s="384">
        <f>D12</f>
        <v>5674498.2300000004</v>
      </c>
      <c r="E11" s="503">
        <f t="shared" ref="E11:F11" si="1">E12</f>
        <v>5750359.5899999999</v>
      </c>
      <c r="F11" s="503">
        <f t="shared" si="1"/>
        <v>5794611.3300000001</v>
      </c>
    </row>
    <row r="12" spans="1:7" s="90" customFormat="1" x14ac:dyDescent="0.25">
      <c r="A12" s="383" t="s">
        <v>380</v>
      </c>
      <c r="B12" s="384">
        <f t="shared" ref="B12:C12" si="2">B13+B14+B15</f>
        <v>5931700.1699999999</v>
      </c>
      <c r="C12" s="384">
        <f t="shared" si="2"/>
        <v>4614031.7699999996</v>
      </c>
      <c r="D12" s="384">
        <f>D13+D14+D15</f>
        <v>5674498.2300000004</v>
      </c>
      <c r="E12" s="503">
        <f t="shared" ref="E12:F12" si="3">E13+E14+E15</f>
        <v>5750359.5899999999</v>
      </c>
      <c r="F12" s="503">
        <f t="shared" si="3"/>
        <v>5794611.3300000001</v>
      </c>
    </row>
    <row r="13" spans="1:7" s="90" customFormat="1" x14ac:dyDescent="0.25">
      <c r="A13" s="385" t="s">
        <v>381</v>
      </c>
      <c r="B13" s="386">
        <f t="shared" ref="B13:C13" si="4">ROUND(B10*0.6,2)</f>
        <v>3559020.1</v>
      </c>
      <c r="C13" s="386">
        <f t="shared" si="4"/>
        <v>2768419.06</v>
      </c>
      <c r="D13" s="386">
        <f t="shared" ref="D13:E13" si="5">ROUND(D10*0.6,2)</f>
        <v>3404698.94</v>
      </c>
      <c r="E13" s="504">
        <f t="shared" si="5"/>
        <v>3450215.75</v>
      </c>
      <c r="F13" s="505">
        <f>ROUND(F10*0.6,2)</f>
        <v>3476766.8</v>
      </c>
    </row>
    <row r="14" spans="1:7" s="90" customFormat="1" x14ac:dyDescent="0.25">
      <c r="A14" s="385" t="s">
        <v>382</v>
      </c>
      <c r="B14" s="386">
        <f t="shared" ref="B14:C14" si="6">ROUND(B10*0.15,2)</f>
        <v>889755.03</v>
      </c>
      <c r="C14" s="386">
        <f t="shared" si="6"/>
        <v>692104.77</v>
      </c>
      <c r="D14" s="386">
        <f t="shared" ref="D14:E14" si="7">ROUND(D10*0.15,2)</f>
        <v>851174.73</v>
      </c>
      <c r="E14" s="504">
        <f t="shared" si="7"/>
        <v>862553.94</v>
      </c>
      <c r="F14" s="505">
        <f>ROUND(F10*0.15,2)</f>
        <v>869191.7</v>
      </c>
    </row>
    <row r="15" spans="1:7" s="90" customFormat="1" x14ac:dyDescent="0.25">
      <c r="A15" s="385" t="s">
        <v>383</v>
      </c>
      <c r="B15" s="386">
        <f t="shared" ref="B15:C15" si="8">ROUND(B10*0.25,2)</f>
        <v>1482925.04</v>
      </c>
      <c r="C15" s="386">
        <f t="shared" si="8"/>
        <v>1153507.94</v>
      </c>
      <c r="D15" s="386">
        <f t="shared" ref="D15:E15" si="9">ROUND(D10*0.25,2)</f>
        <v>1418624.56</v>
      </c>
      <c r="E15" s="504">
        <f t="shared" si="9"/>
        <v>1437589.9</v>
      </c>
      <c r="F15" s="505">
        <f>ROUND(F10*0.25,2)</f>
        <v>1448652.83</v>
      </c>
    </row>
    <row r="16" spans="1:7" s="509" customFormat="1" x14ac:dyDescent="0.25">
      <c r="A16" s="391" t="s">
        <v>384</v>
      </c>
      <c r="B16" s="391"/>
      <c r="C16" s="391"/>
      <c r="D16" s="506">
        <f>D17</f>
        <v>0</v>
      </c>
      <c r="E16" s="507">
        <f>E17</f>
        <v>0</v>
      </c>
      <c r="F16" s="508">
        <f>F17</f>
        <v>0</v>
      </c>
    </row>
    <row r="17" spans="1:6" s="513" customFormat="1" x14ac:dyDescent="0.25">
      <c r="A17" s="510" t="s">
        <v>385</v>
      </c>
      <c r="B17" s="510"/>
      <c r="C17" s="510"/>
      <c r="D17" s="511"/>
      <c r="E17" s="512"/>
      <c r="F17" s="393"/>
    </row>
    <row r="18" spans="1:6" s="90" customFormat="1" x14ac:dyDescent="0.25">
      <c r="A18" s="518" t="s">
        <v>386</v>
      </c>
      <c r="B18" s="514"/>
      <c r="C18" s="514"/>
      <c r="D18" s="515">
        <v>0</v>
      </c>
      <c r="E18" s="516">
        <v>0</v>
      </c>
      <c r="F18" s="517">
        <v>0</v>
      </c>
    </row>
    <row r="21" spans="1:6" x14ac:dyDescent="0.25">
      <c r="F21" s="496"/>
    </row>
  </sheetData>
  <mergeCells count="4">
    <mergeCell ref="A1:F1"/>
    <mergeCell ref="A2:F2"/>
    <mergeCell ref="A4:F4"/>
    <mergeCell ref="A6:F6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D2432-F751-42E1-A07E-EC752E045514}">
  <dimension ref="A1:H714"/>
  <sheetViews>
    <sheetView topLeftCell="A147" zoomScaleNormal="100" workbookViewId="0">
      <selection activeCell="B10" sqref="B10"/>
    </sheetView>
  </sheetViews>
  <sheetFormatPr defaultRowHeight="15.75" x14ac:dyDescent="0.25"/>
  <cols>
    <col min="1" max="1" width="15.140625" style="435" bestFit="1" customWidth="1"/>
    <col min="2" max="2" width="63.140625" style="435" bestFit="1" customWidth="1"/>
    <col min="3" max="3" width="23.7109375" style="435" customWidth="1"/>
    <col min="4" max="4" width="24" style="435" customWidth="1"/>
    <col min="5" max="5" width="16.85546875" style="446" bestFit="1" customWidth="1"/>
    <col min="6" max="6" width="19.7109375" style="446" bestFit="1" customWidth="1"/>
    <col min="7" max="7" width="19.140625" style="446" bestFit="1" customWidth="1"/>
    <col min="8" max="8" width="9.85546875" style="428" bestFit="1" customWidth="1"/>
    <col min="9" max="238" width="9.140625" style="428"/>
    <col min="239" max="239" width="14.5703125" style="428" customWidth="1"/>
    <col min="240" max="240" width="55" style="428" customWidth="1"/>
    <col min="241" max="241" width="15.85546875" style="428" customWidth="1"/>
    <col min="242" max="242" width="19.85546875" style="428" customWidth="1"/>
    <col min="243" max="243" width="19.140625" style="428" bestFit="1" customWidth="1"/>
    <col min="244" max="244" width="15.140625" style="428" customWidth="1"/>
    <col min="245" max="245" width="12.5703125" style="428" customWidth="1"/>
    <col min="246" max="246" width="15.7109375" style="428" customWidth="1"/>
    <col min="247" max="247" width="10.7109375" style="428" bestFit="1" customWidth="1"/>
    <col min="248" max="248" width="10.28515625" style="428" bestFit="1" customWidth="1"/>
    <col min="249" max="249" width="11.85546875" style="428" bestFit="1" customWidth="1"/>
    <col min="250" max="250" width="15.42578125" style="428" customWidth="1"/>
    <col min="251" max="494" width="9.140625" style="428"/>
    <col min="495" max="495" width="14.5703125" style="428" customWidth="1"/>
    <col min="496" max="496" width="55" style="428" customWidth="1"/>
    <col min="497" max="497" width="15.85546875" style="428" customWidth="1"/>
    <col min="498" max="498" width="19.85546875" style="428" customWidth="1"/>
    <col min="499" max="499" width="19.140625" style="428" bestFit="1" customWidth="1"/>
    <col min="500" max="500" width="15.140625" style="428" customWidth="1"/>
    <col min="501" max="501" width="12.5703125" style="428" customWidth="1"/>
    <col min="502" max="502" width="15.7109375" style="428" customWidth="1"/>
    <col min="503" max="503" width="10.7109375" style="428" bestFit="1" customWidth="1"/>
    <col min="504" max="504" width="10.28515625" style="428" bestFit="1" customWidth="1"/>
    <col min="505" max="505" width="11.85546875" style="428" bestFit="1" customWidth="1"/>
    <col min="506" max="506" width="15.42578125" style="428" customWidth="1"/>
    <col min="507" max="750" width="9.140625" style="428"/>
    <col min="751" max="751" width="14.5703125" style="428" customWidth="1"/>
    <col min="752" max="752" width="55" style="428" customWidth="1"/>
    <col min="753" max="753" width="15.85546875" style="428" customWidth="1"/>
    <col min="754" max="754" width="19.85546875" style="428" customWidth="1"/>
    <col min="755" max="755" width="19.140625" style="428" bestFit="1" customWidth="1"/>
    <col min="756" max="756" width="15.140625" style="428" customWidth="1"/>
    <col min="757" max="757" width="12.5703125" style="428" customWidth="1"/>
    <col min="758" max="758" width="15.7109375" style="428" customWidth="1"/>
    <col min="759" max="759" width="10.7109375" style="428" bestFit="1" customWidth="1"/>
    <col min="760" max="760" width="10.28515625" style="428" bestFit="1" customWidth="1"/>
    <col min="761" max="761" width="11.85546875" style="428" bestFit="1" customWidth="1"/>
    <col min="762" max="762" width="15.42578125" style="428" customWidth="1"/>
    <col min="763" max="1006" width="9.140625" style="428"/>
    <col min="1007" max="1007" width="14.5703125" style="428" customWidth="1"/>
    <col min="1008" max="1008" width="55" style="428" customWidth="1"/>
    <col min="1009" max="1009" width="15.85546875" style="428" customWidth="1"/>
    <col min="1010" max="1010" width="19.85546875" style="428" customWidth="1"/>
    <col min="1011" max="1011" width="19.140625" style="428" bestFit="1" customWidth="1"/>
    <col min="1012" max="1012" width="15.140625" style="428" customWidth="1"/>
    <col min="1013" max="1013" width="12.5703125" style="428" customWidth="1"/>
    <col min="1014" max="1014" width="15.7109375" style="428" customWidth="1"/>
    <col min="1015" max="1015" width="10.7109375" style="428" bestFit="1" customWidth="1"/>
    <col min="1016" max="1016" width="10.28515625" style="428" bestFit="1" customWidth="1"/>
    <col min="1017" max="1017" width="11.85546875" style="428" bestFit="1" customWidth="1"/>
    <col min="1018" max="1018" width="15.42578125" style="428" customWidth="1"/>
    <col min="1019" max="1262" width="9.140625" style="428"/>
    <col min="1263" max="1263" width="14.5703125" style="428" customWidth="1"/>
    <col min="1264" max="1264" width="55" style="428" customWidth="1"/>
    <col min="1265" max="1265" width="15.85546875" style="428" customWidth="1"/>
    <col min="1266" max="1266" width="19.85546875" style="428" customWidth="1"/>
    <col min="1267" max="1267" width="19.140625" style="428" bestFit="1" customWidth="1"/>
    <col min="1268" max="1268" width="15.140625" style="428" customWidth="1"/>
    <col min="1269" max="1269" width="12.5703125" style="428" customWidth="1"/>
    <col min="1270" max="1270" width="15.7109375" style="428" customWidth="1"/>
    <col min="1271" max="1271" width="10.7109375" style="428" bestFit="1" customWidth="1"/>
    <col min="1272" max="1272" width="10.28515625" style="428" bestFit="1" customWidth="1"/>
    <col min="1273" max="1273" width="11.85546875" style="428" bestFit="1" customWidth="1"/>
    <col min="1274" max="1274" width="15.42578125" style="428" customWidth="1"/>
    <col min="1275" max="1518" width="9.140625" style="428"/>
    <col min="1519" max="1519" width="14.5703125" style="428" customWidth="1"/>
    <col min="1520" max="1520" width="55" style="428" customWidth="1"/>
    <col min="1521" max="1521" width="15.85546875" style="428" customWidth="1"/>
    <col min="1522" max="1522" width="19.85546875" style="428" customWidth="1"/>
    <col min="1523" max="1523" width="19.140625" style="428" bestFit="1" customWidth="1"/>
    <col min="1524" max="1524" width="15.140625" style="428" customWidth="1"/>
    <col min="1525" max="1525" width="12.5703125" style="428" customWidth="1"/>
    <col min="1526" max="1526" width="15.7109375" style="428" customWidth="1"/>
    <col min="1527" max="1527" width="10.7109375" style="428" bestFit="1" customWidth="1"/>
    <col min="1528" max="1528" width="10.28515625" style="428" bestFit="1" customWidth="1"/>
    <col min="1529" max="1529" width="11.85546875" style="428" bestFit="1" customWidth="1"/>
    <col min="1530" max="1530" width="15.42578125" style="428" customWidth="1"/>
    <col min="1531" max="1774" width="9.140625" style="428"/>
    <col min="1775" max="1775" width="14.5703125" style="428" customWidth="1"/>
    <col min="1776" max="1776" width="55" style="428" customWidth="1"/>
    <col min="1777" max="1777" width="15.85546875" style="428" customWidth="1"/>
    <col min="1778" max="1778" width="19.85546875" style="428" customWidth="1"/>
    <col min="1779" max="1779" width="19.140625" style="428" bestFit="1" customWidth="1"/>
    <col min="1780" max="1780" width="15.140625" style="428" customWidth="1"/>
    <col min="1781" max="1781" width="12.5703125" style="428" customWidth="1"/>
    <col min="1782" max="1782" width="15.7109375" style="428" customWidth="1"/>
    <col min="1783" max="1783" width="10.7109375" style="428" bestFit="1" customWidth="1"/>
    <col min="1784" max="1784" width="10.28515625" style="428" bestFit="1" customWidth="1"/>
    <col min="1785" max="1785" width="11.85546875" style="428" bestFit="1" customWidth="1"/>
    <col min="1786" max="1786" width="15.42578125" style="428" customWidth="1"/>
    <col min="1787" max="2030" width="9.140625" style="428"/>
    <col min="2031" max="2031" width="14.5703125" style="428" customWidth="1"/>
    <col min="2032" max="2032" width="55" style="428" customWidth="1"/>
    <col min="2033" max="2033" width="15.85546875" style="428" customWidth="1"/>
    <col min="2034" max="2034" width="19.85546875" style="428" customWidth="1"/>
    <col min="2035" max="2035" width="19.140625" style="428" bestFit="1" customWidth="1"/>
    <col min="2036" max="2036" width="15.140625" style="428" customWidth="1"/>
    <col min="2037" max="2037" width="12.5703125" style="428" customWidth="1"/>
    <col min="2038" max="2038" width="15.7109375" style="428" customWidth="1"/>
    <col min="2039" max="2039" width="10.7109375" style="428" bestFit="1" customWidth="1"/>
    <col min="2040" max="2040" width="10.28515625" style="428" bestFit="1" customWidth="1"/>
    <col min="2041" max="2041" width="11.85546875" style="428" bestFit="1" customWidth="1"/>
    <col min="2042" max="2042" width="15.42578125" style="428" customWidth="1"/>
    <col min="2043" max="2286" width="9.140625" style="428"/>
    <col min="2287" max="2287" width="14.5703125" style="428" customWidth="1"/>
    <col min="2288" max="2288" width="55" style="428" customWidth="1"/>
    <col min="2289" max="2289" width="15.85546875" style="428" customWidth="1"/>
    <col min="2290" max="2290" width="19.85546875" style="428" customWidth="1"/>
    <col min="2291" max="2291" width="19.140625" style="428" bestFit="1" customWidth="1"/>
    <col min="2292" max="2292" width="15.140625" style="428" customWidth="1"/>
    <col min="2293" max="2293" width="12.5703125" style="428" customWidth="1"/>
    <col min="2294" max="2294" width="15.7109375" style="428" customWidth="1"/>
    <col min="2295" max="2295" width="10.7109375" style="428" bestFit="1" customWidth="1"/>
    <col min="2296" max="2296" width="10.28515625" style="428" bestFit="1" customWidth="1"/>
    <col min="2297" max="2297" width="11.85546875" style="428" bestFit="1" customWidth="1"/>
    <col min="2298" max="2298" width="15.42578125" style="428" customWidth="1"/>
    <col min="2299" max="2542" width="9.140625" style="428"/>
    <col min="2543" max="2543" width="14.5703125" style="428" customWidth="1"/>
    <col min="2544" max="2544" width="55" style="428" customWidth="1"/>
    <col min="2545" max="2545" width="15.85546875" style="428" customWidth="1"/>
    <col min="2546" max="2546" width="19.85546875" style="428" customWidth="1"/>
    <col min="2547" max="2547" width="19.140625" style="428" bestFit="1" customWidth="1"/>
    <col min="2548" max="2548" width="15.140625" style="428" customWidth="1"/>
    <col min="2549" max="2549" width="12.5703125" style="428" customWidth="1"/>
    <col min="2550" max="2550" width="15.7109375" style="428" customWidth="1"/>
    <col min="2551" max="2551" width="10.7109375" style="428" bestFit="1" customWidth="1"/>
    <col min="2552" max="2552" width="10.28515625" style="428" bestFit="1" customWidth="1"/>
    <col min="2553" max="2553" width="11.85546875" style="428" bestFit="1" customWidth="1"/>
    <col min="2554" max="2554" width="15.42578125" style="428" customWidth="1"/>
    <col min="2555" max="2798" width="9.140625" style="428"/>
    <col min="2799" max="2799" width="14.5703125" style="428" customWidth="1"/>
    <col min="2800" max="2800" width="55" style="428" customWidth="1"/>
    <col min="2801" max="2801" width="15.85546875" style="428" customWidth="1"/>
    <col min="2802" max="2802" width="19.85546875" style="428" customWidth="1"/>
    <col min="2803" max="2803" width="19.140625" style="428" bestFit="1" customWidth="1"/>
    <col min="2804" max="2804" width="15.140625" style="428" customWidth="1"/>
    <col min="2805" max="2805" width="12.5703125" style="428" customWidth="1"/>
    <col min="2806" max="2806" width="15.7109375" style="428" customWidth="1"/>
    <col min="2807" max="2807" width="10.7109375" style="428" bestFit="1" customWidth="1"/>
    <col min="2808" max="2808" width="10.28515625" style="428" bestFit="1" customWidth="1"/>
    <col min="2809" max="2809" width="11.85546875" style="428" bestFit="1" customWidth="1"/>
    <col min="2810" max="2810" width="15.42578125" style="428" customWidth="1"/>
    <col min="2811" max="3054" width="9.140625" style="428"/>
    <col min="3055" max="3055" width="14.5703125" style="428" customWidth="1"/>
    <col min="3056" max="3056" width="55" style="428" customWidth="1"/>
    <col min="3057" max="3057" width="15.85546875" style="428" customWidth="1"/>
    <col min="3058" max="3058" width="19.85546875" style="428" customWidth="1"/>
    <col min="3059" max="3059" width="19.140625" style="428" bestFit="1" customWidth="1"/>
    <col min="3060" max="3060" width="15.140625" style="428" customWidth="1"/>
    <col min="3061" max="3061" width="12.5703125" style="428" customWidth="1"/>
    <col min="3062" max="3062" width="15.7109375" style="428" customWidth="1"/>
    <col min="3063" max="3063" width="10.7109375" style="428" bestFit="1" customWidth="1"/>
    <col min="3064" max="3064" width="10.28515625" style="428" bestFit="1" customWidth="1"/>
    <col min="3065" max="3065" width="11.85546875" style="428" bestFit="1" customWidth="1"/>
    <col min="3066" max="3066" width="15.42578125" style="428" customWidth="1"/>
    <col min="3067" max="3310" width="9.140625" style="428"/>
    <col min="3311" max="3311" width="14.5703125" style="428" customWidth="1"/>
    <col min="3312" max="3312" width="55" style="428" customWidth="1"/>
    <col min="3313" max="3313" width="15.85546875" style="428" customWidth="1"/>
    <col min="3314" max="3314" width="19.85546875" style="428" customWidth="1"/>
    <col min="3315" max="3315" width="19.140625" style="428" bestFit="1" customWidth="1"/>
    <col min="3316" max="3316" width="15.140625" style="428" customWidth="1"/>
    <col min="3317" max="3317" width="12.5703125" style="428" customWidth="1"/>
    <col min="3318" max="3318" width="15.7109375" style="428" customWidth="1"/>
    <col min="3319" max="3319" width="10.7109375" style="428" bestFit="1" customWidth="1"/>
    <col min="3320" max="3320" width="10.28515625" style="428" bestFit="1" customWidth="1"/>
    <col min="3321" max="3321" width="11.85546875" style="428" bestFit="1" customWidth="1"/>
    <col min="3322" max="3322" width="15.42578125" style="428" customWidth="1"/>
    <col min="3323" max="3566" width="9.140625" style="428"/>
    <col min="3567" max="3567" width="14.5703125" style="428" customWidth="1"/>
    <col min="3568" max="3568" width="55" style="428" customWidth="1"/>
    <col min="3569" max="3569" width="15.85546875" style="428" customWidth="1"/>
    <col min="3570" max="3570" width="19.85546875" style="428" customWidth="1"/>
    <col min="3571" max="3571" width="19.140625" style="428" bestFit="1" customWidth="1"/>
    <col min="3572" max="3572" width="15.140625" style="428" customWidth="1"/>
    <col min="3573" max="3573" width="12.5703125" style="428" customWidth="1"/>
    <col min="3574" max="3574" width="15.7109375" style="428" customWidth="1"/>
    <col min="3575" max="3575" width="10.7109375" style="428" bestFit="1" customWidth="1"/>
    <col min="3576" max="3576" width="10.28515625" style="428" bestFit="1" customWidth="1"/>
    <col min="3577" max="3577" width="11.85546875" style="428" bestFit="1" customWidth="1"/>
    <col min="3578" max="3578" width="15.42578125" style="428" customWidth="1"/>
    <col min="3579" max="3822" width="9.140625" style="428"/>
    <col min="3823" max="3823" width="14.5703125" style="428" customWidth="1"/>
    <col min="3824" max="3824" width="55" style="428" customWidth="1"/>
    <col min="3825" max="3825" width="15.85546875" style="428" customWidth="1"/>
    <col min="3826" max="3826" width="19.85546875" style="428" customWidth="1"/>
    <col min="3827" max="3827" width="19.140625" style="428" bestFit="1" customWidth="1"/>
    <col min="3828" max="3828" width="15.140625" style="428" customWidth="1"/>
    <col min="3829" max="3829" width="12.5703125" style="428" customWidth="1"/>
    <col min="3830" max="3830" width="15.7109375" style="428" customWidth="1"/>
    <col min="3831" max="3831" width="10.7109375" style="428" bestFit="1" customWidth="1"/>
    <col min="3832" max="3832" width="10.28515625" style="428" bestFit="1" customWidth="1"/>
    <col min="3833" max="3833" width="11.85546875" style="428" bestFit="1" customWidth="1"/>
    <col min="3834" max="3834" width="15.42578125" style="428" customWidth="1"/>
    <col min="3835" max="4078" width="9.140625" style="428"/>
    <col min="4079" max="4079" width="14.5703125" style="428" customWidth="1"/>
    <col min="4080" max="4080" width="55" style="428" customWidth="1"/>
    <col min="4081" max="4081" width="15.85546875" style="428" customWidth="1"/>
    <col min="4082" max="4082" width="19.85546875" style="428" customWidth="1"/>
    <col min="4083" max="4083" width="19.140625" style="428" bestFit="1" customWidth="1"/>
    <col min="4084" max="4084" width="15.140625" style="428" customWidth="1"/>
    <col min="4085" max="4085" width="12.5703125" style="428" customWidth="1"/>
    <col min="4086" max="4086" width="15.7109375" style="428" customWidth="1"/>
    <col min="4087" max="4087" width="10.7109375" style="428" bestFit="1" customWidth="1"/>
    <col min="4088" max="4088" width="10.28515625" style="428" bestFit="1" customWidth="1"/>
    <col min="4089" max="4089" width="11.85546875" style="428" bestFit="1" customWidth="1"/>
    <col min="4090" max="4090" width="15.42578125" style="428" customWidth="1"/>
    <col min="4091" max="4334" width="9.140625" style="428"/>
    <col min="4335" max="4335" width="14.5703125" style="428" customWidth="1"/>
    <col min="4336" max="4336" width="55" style="428" customWidth="1"/>
    <col min="4337" max="4337" width="15.85546875" style="428" customWidth="1"/>
    <col min="4338" max="4338" width="19.85546875" style="428" customWidth="1"/>
    <col min="4339" max="4339" width="19.140625" style="428" bestFit="1" customWidth="1"/>
    <col min="4340" max="4340" width="15.140625" style="428" customWidth="1"/>
    <col min="4341" max="4341" width="12.5703125" style="428" customWidth="1"/>
    <col min="4342" max="4342" width="15.7109375" style="428" customWidth="1"/>
    <col min="4343" max="4343" width="10.7109375" style="428" bestFit="1" customWidth="1"/>
    <col min="4344" max="4344" width="10.28515625" style="428" bestFit="1" customWidth="1"/>
    <col min="4345" max="4345" width="11.85546875" style="428" bestFit="1" customWidth="1"/>
    <col min="4346" max="4346" width="15.42578125" style="428" customWidth="1"/>
    <col min="4347" max="4590" width="9.140625" style="428"/>
    <col min="4591" max="4591" width="14.5703125" style="428" customWidth="1"/>
    <col min="4592" max="4592" width="55" style="428" customWidth="1"/>
    <col min="4593" max="4593" width="15.85546875" style="428" customWidth="1"/>
    <col min="4594" max="4594" width="19.85546875" style="428" customWidth="1"/>
    <col min="4595" max="4595" width="19.140625" style="428" bestFit="1" customWidth="1"/>
    <col min="4596" max="4596" width="15.140625" style="428" customWidth="1"/>
    <col min="4597" max="4597" width="12.5703125" style="428" customWidth="1"/>
    <col min="4598" max="4598" width="15.7109375" style="428" customWidth="1"/>
    <col min="4599" max="4599" width="10.7109375" style="428" bestFit="1" customWidth="1"/>
    <col min="4600" max="4600" width="10.28515625" style="428" bestFit="1" customWidth="1"/>
    <col min="4601" max="4601" width="11.85546875" style="428" bestFit="1" customWidth="1"/>
    <col min="4602" max="4602" width="15.42578125" style="428" customWidth="1"/>
    <col min="4603" max="4846" width="9.140625" style="428"/>
    <col min="4847" max="4847" width="14.5703125" style="428" customWidth="1"/>
    <col min="4848" max="4848" width="55" style="428" customWidth="1"/>
    <col min="4849" max="4849" width="15.85546875" style="428" customWidth="1"/>
    <col min="4850" max="4850" width="19.85546875" style="428" customWidth="1"/>
    <col min="4851" max="4851" width="19.140625" style="428" bestFit="1" customWidth="1"/>
    <col min="4852" max="4852" width="15.140625" style="428" customWidth="1"/>
    <col min="4853" max="4853" width="12.5703125" style="428" customWidth="1"/>
    <col min="4854" max="4854" width="15.7109375" style="428" customWidth="1"/>
    <col min="4855" max="4855" width="10.7109375" style="428" bestFit="1" customWidth="1"/>
    <col min="4856" max="4856" width="10.28515625" style="428" bestFit="1" customWidth="1"/>
    <col min="4857" max="4857" width="11.85546875" style="428" bestFit="1" customWidth="1"/>
    <col min="4858" max="4858" width="15.42578125" style="428" customWidth="1"/>
    <col min="4859" max="5102" width="9.140625" style="428"/>
    <col min="5103" max="5103" width="14.5703125" style="428" customWidth="1"/>
    <col min="5104" max="5104" width="55" style="428" customWidth="1"/>
    <col min="5105" max="5105" width="15.85546875" style="428" customWidth="1"/>
    <col min="5106" max="5106" width="19.85546875" style="428" customWidth="1"/>
    <col min="5107" max="5107" width="19.140625" style="428" bestFit="1" customWidth="1"/>
    <col min="5108" max="5108" width="15.140625" style="428" customWidth="1"/>
    <col min="5109" max="5109" width="12.5703125" style="428" customWidth="1"/>
    <col min="5110" max="5110" width="15.7109375" style="428" customWidth="1"/>
    <col min="5111" max="5111" width="10.7109375" style="428" bestFit="1" customWidth="1"/>
    <col min="5112" max="5112" width="10.28515625" style="428" bestFit="1" customWidth="1"/>
    <col min="5113" max="5113" width="11.85546875" style="428" bestFit="1" customWidth="1"/>
    <col min="5114" max="5114" width="15.42578125" style="428" customWidth="1"/>
    <col min="5115" max="5358" width="9.140625" style="428"/>
    <col min="5359" max="5359" width="14.5703125" style="428" customWidth="1"/>
    <col min="5360" max="5360" width="55" style="428" customWidth="1"/>
    <col min="5361" max="5361" width="15.85546875" style="428" customWidth="1"/>
    <col min="5362" max="5362" width="19.85546875" style="428" customWidth="1"/>
    <col min="5363" max="5363" width="19.140625" style="428" bestFit="1" customWidth="1"/>
    <col min="5364" max="5364" width="15.140625" style="428" customWidth="1"/>
    <col min="5365" max="5365" width="12.5703125" style="428" customWidth="1"/>
    <col min="5366" max="5366" width="15.7109375" style="428" customWidth="1"/>
    <col min="5367" max="5367" width="10.7109375" style="428" bestFit="1" customWidth="1"/>
    <col min="5368" max="5368" width="10.28515625" style="428" bestFit="1" customWidth="1"/>
    <col min="5369" max="5369" width="11.85546875" style="428" bestFit="1" customWidth="1"/>
    <col min="5370" max="5370" width="15.42578125" style="428" customWidth="1"/>
    <col min="5371" max="5614" width="9.140625" style="428"/>
    <col min="5615" max="5615" width="14.5703125" style="428" customWidth="1"/>
    <col min="5616" max="5616" width="55" style="428" customWidth="1"/>
    <col min="5617" max="5617" width="15.85546875" style="428" customWidth="1"/>
    <col min="5618" max="5618" width="19.85546875" style="428" customWidth="1"/>
    <col min="5619" max="5619" width="19.140625" style="428" bestFit="1" customWidth="1"/>
    <col min="5620" max="5620" width="15.140625" style="428" customWidth="1"/>
    <col min="5621" max="5621" width="12.5703125" style="428" customWidth="1"/>
    <col min="5622" max="5622" width="15.7109375" style="428" customWidth="1"/>
    <col min="5623" max="5623" width="10.7109375" style="428" bestFit="1" customWidth="1"/>
    <col min="5624" max="5624" width="10.28515625" style="428" bestFit="1" customWidth="1"/>
    <col min="5625" max="5625" width="11.85546875" style="428" bestFit="1" customWidth="1"/>
    <col min="5626" max="5626" width="15.42578125" style="428" customWidth="1"/>
    <col min="5627" max="5870" width="9.140625" style="428"/>
    <col min="5871" max="5871" width="14.5703125" style="428" customWidth="1"/>
    <col min="5872" max="5872" width="55" style="428" customWidth="1"/>
    <col min="5873" max="5873" width="15.85546875" style="428" customWidth="1"/>
    <col min="5874" max="5874" width="19.85546875" style="428" customWidth="1"/>
    <col min="5875" max="5875" width="19.140625" style="428" bestFit="1" customWidth="1"/>
    <col min="5876" max="5876" width="15.140625" style="428" customWidth="1"/>
    <col min="5877" max="5877" width="12.5703125" style="428" customWidth="1"/>
    <col min="5878" max="5878" width="15.7109375" style="428" customWidth="1"/>
    <col min="5879" max="5879" width="10.7109375" style="428" bestFit="1" customWidth="1"/>
    <col min="5880" max="5880" width="10.28515625" style="428" bestFit="1" customWidth="1"/>
    <col min="5881" max="5881" width="11.85546875" style="428" bestFit="1" customWidth="1"/>
    <col min="5882" max="5882" width="15.42578125" style="428" customWidth="1"/>
    <col min="5883" max="6126" width="9.140625" style="428"/>
    <col min="6127" max="6127" width="14.5703125" style="428" customWidth="1"/>
    <col min="6128" max="6128" width="55" style="428" customWidth="1"/>
    <col min="6129" max="6129" width="15.85546875" style="428" customWidth="1"/>
    <col min="6130" max="6130" width="19.85546875" style="428" customWidth="1"/>
    <col min="6131" max="6131" width="19.140625" style="428" bestFit="1" customWidth="1"/>
    <col min="6132" max="6132" width="15.140625" style="428" customWidth="1"/>
    <col min="6133" max="6133" width="12.5703125" style="428" customWidth="1"/>
    <col min="6134" max="6134" width="15.7109375" style="428" customWidth="1"/>
    <col min="6135" max="6135" width="10.7109375" style="428" bestFit="1" customWidth="1"/>
    <col min="6136" max="6136" width="10.28515625" style="428" bestFit="1" customWidth="1"/>
    <col min="6137" max="6137" width="11.85546875" style="428" bestFit="1" customWidth="1"/>
    <col min="6138" max="6138" width="15.42578125" style="428" customWidth="1"/>
    <col min="6139" max="6382" width="9.140625" style="428"/>
    <col min="6383" max="6383" width="14.5703125" style="428" customWidth="1"/>
    <col min="6384" max="6384" width="55" style="428" customWidth="1"/>
    <col min="6385" max="6385" width="15.85546875" style="428" customWidth="1"/>
    <col min="6386" max="6386" width="19.85546875" style="428" customWidth="1"/>
    <col min="6387" max="6387" width="19.140625" style="428" bestFit="1" customWidth="1"/>
    <col min="6388" max="6388" width="15.140625" style="428" customWidth="1"/>
    <col min="6389" max="6389" width="12.5703125" style="428" customWidth="1"/>
    <col min="6390" max="6390" width="15.7109375" style="428" customWidth="1"/>
    <col min="6391" max="6391" width="10.7109375" style="428" bestFit="1" customWidth="1"/>
    <col min="6392" max="6392" width="10.28515625" style="428" bestFit="1" customWidth="1"/>
    <col min="6393" max="6393" width="11.85546875" style="428" bestFit="1" customWidth="1"/>
    <col min="6394" max="6394" width="15.42578125" style="428" customWidth="1"/>
    <col min="6395" max="6638" width="9.140625" style="428"/>
    <col min="6639" max="6639" width="14.5703125" style="428" customWidth="1"/>
    <col min="6640" max="6640" width="55" style="428" customWidth="1"/>
    <col min="6641" max="6641" width="15.85546875" style="428" customWidth="1"/>
    <col min="6642" max="6642" width="19.85546875" style="428" customWidth="1"/>
    <col min="6643" max="6643" width="19.140625" style="428" bestFit="1" customWidth="1"/>
    <col min="6644" max="6644" width="15.140625" style="428" customWidth="1"/>
    <col min="6645" max="6645" width="12.5703125" style="428" customWidth="1"/>
    <col min="6646" max="6646" width="15.7109375" style="428" customWidth="1"/>
    <col min="6647" max="6647" width="10.7109375" style="428" bestFit="1" customWidth="1"/>
    <col min="6648" max="6648" width="10.28515625" style="428" bestFit="1" customWidth="1"/>
    <col min="6649" max="6649" width="11.85546875" style="428" bestFit="1" customWidth="1"/>
    <col min="6650" max="6650" width="15.42578125" style="428" customWidth="1"/>
    <col min="6651" max="6894" width="9.140625" style="428"/>
    <col min="6895" max="6895" width="14.5703125" style="428" customWidth="1"/>
    <col min="6896" max="6896" width="55" style="428" customWidth="1"/>
    <col min="6897" max="6897" width="15.85546875" style="428" customWidth="1"/>
    <col min="6898" max="6898" width="19.85546875" style="428" customWidth="1"/>
    <col min="6899" max="6899" width="19.140625" style="428" bestFit="1" customWidth="1"/>
    <col min="6900" max="6900" width="15.140625" style="428" customWidth="1"/>
    <col min="6901" max="6901" width="12.5703125" style="428" customWidth="1"/>
    <col min="6902" max="6902" width="15.7109375" style="428" customWidth="1"/>
    <col min="6903" max="6903" width="10.7109375" style="428" bestFit="1" customWidth="1"/>
    <col min="6904" max="6904" width="10.28515625" style="428" bestFit="1" customWidth="1"/>
    <col min="6905" max="6905" width="11.85546875" style="428" bestFit="1" customWidth="1"/>
    <col min="6906" max="6906" width="15.42578125" style="428" customWidth="1"/>
    <col min="6907" max="7150" width="9.140625" style="428"/>
    <col min="7151" max="7151" width="14.5703125" style="428" customWidth="1"/>
    <col min="7152" max="7152" width="55" style="428" customWidth="1"/>
    <col min="7153" max="7153" width="15.85546875" style="428" customWidth="1"/>
    <col min="7154" max="7154" width="19.85546875" style="428" customWidth="1"/>
    <col min="7155" max="7155" width="19.140625" style="428" bestFit="1" customWidth="1"/>
    <col min="7156" max="7156" width="15.140625" style="428" customWidth="1"/>
    <col min="7157" max="7157" width="12.5703125" style="428" customWidth="1"/>
    <col min="7158" max="7158" width="15.7109375" style="428" customWidth="1"/>
    <col min="7159" max="7159" width="10.7109375" style="428" bestFit="1" customWidth="1"/>
    <col min="7160" max="7160" width="10.28515625" style="428" bestFit="1" customWidth="1"/>
    <col min="7161" max="7161" width="11.85546875" style="428" bestFit="1" customWidth="1"/>
    <col min="7162" max="7162" width="15.42578125" style="428" customWidth="1"/>
    <col min="7163" max="7406" width="9.140625" style="428"/>
    <col min="7407" max="7407" width="14.5703125" style="428" customWidth="1"/>
    <col min="7408" max="7408" width="55" style="428" customWidth="1"/>
    <col min="7409" max="7409" width="15.85546875" style="428" customWidth="1"/>
    <col min="7410" max="7410" width="19.85546875" style="428" customWidth="1"/>
    <col min="7411" max="7411" width="19.140625" style="428" bestFit="1" customWidth="1"/>
    <col min="7412" max="7412" width="15.140625" style="428" customWidth="1"/>
    <col min="7413" max="7413" width="12.5703125" style="428" customWidth="1"/>
    <col min="7414" max="7414" width="15.7109375" style="428" customWidth="1"/>
    <col min="7415" max="7415" width="10.7109375" style="428" bestFit="1" customWidth="1"/>
    <col min="7416" max="7416" width="10.28515625" style="428" bestFit="1" customWidth="1"/>
    <col min="7417" max="7417" width="11.85546875" style="428" bestFit="1" customWidth="1"/>
    <col min="7418" max="7418" width="15.42578125" style="428" customWidth="1"/>
    <col min="7419" max="7662" width="9.140625" style="428"/>
    <col min="7663" max="7663" width="14.5703125" style="428" customWidth="1"/>
    <col min="7664" max="7664" width="55" style="428" customWidth="1"/>
    <col min="7665" max="7665" width="15.85546875" style="428" customWidth="1"/>
    <col min="7666" max="7666" width="19.85546875" style="428" customWidth="1"/>
    <col min="7667" max="7667" width="19.140625" style="428" bestFit="1" customWidth="1"/>
    <col min="7668" max="7668" width="15.140625" style="428" customWidth="1"/>
    <col min="7669" max="7669" width="12.5703125" style="428" customWidth="1"/>
    <col min="7670" max="7670" width="15.7109375" style="428" customWidth="1"/>
    <col min="7671" max="7671" width="10.7109375" style="428" bestFit="1" customWidth="1"/>
    <col min="7672" max="7672" width="10.28515625" style="428" bestFit="1" customWidth="1"/>
    <col min="7673" max="7673" width="11.85546875" style="428" bestFit="1" customWidth="1"/>
    <col min="7674" max="7674" width="15.42578125" style="428" customWidth="1"/>
    <col min="7675" max="7918" width="9.140625" style="428"/>
    <col min="7919" max="7919" width="14.5703125" style="428" customWidth="1"/>
    <col min="7920" max="7920" width="55" style="428" customWidth="1"/>
    <col min="7921" max="7921" width="15.85546875" style="428" customWidth="1"/>
    <col min="7922" max="7922" width="19.85546875" style="428" customWidth="1"/>
    <col min="7923" max="7923" width="19.140625" style="428" bestFit="1" customWidth="1"/>
    <col min="7924" max="7924" width="15.140625" style="428" customWidth="1"/>
    <col min="7925" max="7925" width="12.5703125" style="428" customWidth="1"/>
    <col min="7926" max="7926" width="15.7109375" style="428" customWidth="1"/>
    <col min="7927" max="7927" width="10.7109375" style="428" bestFit="1" customWidth="1"/>
    <col min="7928" max="7928" width="10.28515625" style="428" bestFit="1" customWidth="1"/>
    <col min="7929" max="7929" width="11.85546875" style="428" bestFit="1" customWidth="1"/>
    <col min="7930" max="7930" width="15.42578125" style="428" customWidth="1"/>
    <col min="7931" max="8174" width="9.140625" style="428"/>
    <col min="8175" max="8175" width="14.5703125" style="428" customWidth="1"/>
    <col min="8176" max="8176" width="55" style="428" customWidth="1"/>
    <col min="8177" max="8177" width="15.85546875" style="428" customWidth="1"/>
    <col min="8178" max="8178" width="19.85546875" style="428" customWidth="1"/>
    <col min="8179" max="8179" width="19.140625" style="428" bestFit="1" customWidth="1"/>
    <col min="8180" max="8180" width="15.140625" style="428" customWidth="1"/>
    <col min="8181" max="8181" width="12.5703125" style="428" customWidth="1"/>
    <col min="8182" max="8182" width="15.7109375" style="428" customWidth="1"/>
    <col min="8183" max="8183" width="10.7109375" style="428" bestFit="1" customWidth="1"/>
    <col min="8184" max="8184" width="10.28515625" style="428" bestFit="1" customWidth="1"/>
    <col min="8185" max="8185" width="11.85546875" style="428" bestFit="1" customWidth="1"/>
    <col min="8186" max="8186" width="15.42578125" style="428" customWidth="1"/>
    <col min="8187" max="8430" width="9.140625" style="428"/>
    <col min="8431" max="8431" width="14.5703125" style="428" customWidth="1"/>
    <col min="8432" max="8432" width="55" style="428" customWidth="1"/>
    <col min="8433" max="8433" width="15.85546875" style="428" customWidth="1"/>
    <col min="8434" max="8434" width="19.85546875" style="428" customWidth="1"/>
    <col min="8435" max="8435" width="19.140625" style="428" bestFit="1" customWidth="1"/>
    <col min="8436" max="8436" width="15.140625" style="428" customWidth="1"/>
    <col min="8437" max="8437" width="12.5703125" style="428" customWidth="1"/>
    <col min="8438" max="8438" width="15.7109375" style="428" customWidth="1"/>
    <col min="8439" max="8439" width="10.7109375" style="428" bestFit="1" customWidth="1"/>
    <col min="8440" max="8440" width="10.28515625" style="428" bestFit="1" customWidth="1"/>
    <col min="8441" max="8441" width="11.85546875" style="428" bestFit="1" customWidth="1"/>
    <col min="8442" max="8442" width="15.42578125" style="428" customWidth="1"/>
    <col min="8443" max="8686" width="9.140625" style="428"/>
    <col min="8687" max="8687" width="14.5703125" style="428" customWidth="1"/>
    <col min="8688" max="8688" width="55" style="428" customWidth="1"/>
    <col min="8689" max="8689" width="15.85546875" style="428" customWidth="1"/>
    <col min="8690" max="8690" width="19.85546875" style="428" customWidth="1"/>
    <col min="8691" max="8691" width="19.140625" style="428" bestFit="1" customWidth="1"/>
    <col min="8692" max="8692" width="15.140625" style="428" customWidth="1"/>
    <col min="8693" max="8693" width="12.5703125" style="428" customWidth="1"/>
    <col min="8694" max="8694" width="15.7109375" style="428" customWidth="1"/>
    <col min="8695" max="8695" width="10.7109375" style="428" bestFit="1" customWidth="1"/>
    <col min="8696" max="8696" width="10.28515625" style="428" bestFit="1" customWidth="1"/>
    <col min="8697" max="8697" width="11.85546875" style="428" bestFit="1" customWidth="1"/>
    <col min="8698" max="8698" width="15.42578125" style="428" customWidth="1"/>
    <col min="8699" max="8942" width="9.140625" style="428"/>
    <col min="8943" max="8943" width="14.5703125" style="428" customWidth="1"/>
    <col min="8944" max="8944" width="55" style="428" customWidth="1"/>
    <col min="8945" max="8945" width="15.85546875" style="428" customWidth="1"/>
    <col min="8946" max="8946" width="19.85546875" style="428" customWidth="1"/>
    <col min="8947" max="8947" width="19.140625" style="428" bestFit="1" customWidth="1"/>
    <col min="8948" max="8948" width="15.140625" style="428" customWidth="1"/>
    <col min="8949" max="8949" width="12.5703125" style="428" customWidth="1"/>
    <col min="8950" max="8950" width="15.7109375" style="428" customWidth="1"/>
    <col min="8951" max="8951" width="10.7109375" style="428" bestFit="1" customWidth="1"/>
    <col min="8952" max="8952" width="10.28515625" style="428" bestFit="1" customWidth="1"/>
    <col min="8953" max="8953" width="11.85546875" style="428" bestFit="1" customWidth="1"/>
    <col min="8954" max="8954" width="15.42578125" style="428" customWidth="1"/>
    <col min="8955" max="9198" width="9.140625" style="428"/>
    <col min="9199" max="9199" width="14.5703125" style="428" customWidth="1"/>
    <col min="9200" max="9200" width="55" style="428" customWidth="1"/>
    <col min="9201" max="9201" width="15.85546875" style="428" customWidth="1"/>
    <col min="9202" max="9202" width="19.85546875" style="428" customWidth="1"/>
    <col min="9203" max="9203" width="19.140625" style="428" bestFit="1" customWidth="1"/>
    <col min="9204" max="9204" width="15.140625" style="428" customWidth="1"/>
    <col min="9205" max="9205" width="12.5703125" style="428" customWidth="1"/>
    <col min="9206" max="9206" width="15.7109375" style="428" customWidth="1"/>
    <col min="9207" max="9207" width="10.7109375" style="428" bestFit="1" customWidth="1"/>
    <col min="9208" max="9208" width="10.28515625" style="428" bestFit="1" customWidth="1"/>
    <col min="9209" max="9209" width="11.85546875" style="428" bestFit="1" customWidth="1"/>
    <col min="9210" max="9210" width="15.42578125" style="428" customWidth="1"/>
    <col min="9211" max="9454" width="9.140625" style="428"/>
    <col min="9455" max="9455" width="14.5703125" style="428" customWidth="1"/>
    <col min="9456" max="9456" width="55" style="428" customWidth="1"/>
    <col min="9457" max="9457" width="15.85546875" style="428" customWidth="1"/>
    <col min="9458" max="9458" width="19.85546875" style="428" customWidth="1"/>
    <col min="9459" max="9459" width="19.140625" style="428" bestFit="1" customWidth="1"/>
    <col min="9460" max="9460" width="15.140625" style="428" customWidth="1"/>
    <col min="9461" max="9461" width="12.5703125" style="428" customWidth="1"/>
    <col min="9462" max="9462" width="15.7109375" style="428" customWidth="1"/>
    <col min="9463" max="9463" width="10.7109375" style="428" bestFit="1" customWidth="1"/>
    <col min="9464" max="9464" width="10.28515625" style="428" bestFit="1" customWidth="1"/>
    <col min="9465" max="9465" width="11.85546875" style="428" bestFit="1" customWidth="1"/>
    <col min="9466" max="9466" width="15.42578125" style="428" customWidth="1"/>
    <col min="9467" max="9710" width="9.140625" style="428"/>
    <col min="9711" max="9711" width="14.5703125" style="428" customWidth="1"/>
    <col min="9712" max="9712" width="55" style="428" customWidth="1"/>
    <col min="9713" max="9713" width="15.85546875" style="428" customWidth="1"/>
    <col min="9714" max="9714" width="19.85546875" style="428" customWidth="1"/>
    <col min="9715" max="9715" width="19.140625" style="428" bestFit="1" customWidth="1"/>
    <col min="9716" max="9716" width="15.140625" style="428" customWidth="1"/>
    <col min="9717" max="9717" width="12.5703125" style="428" customWidth="1"/>
    <col min="9718" max="9718" width="15.7109375" style="428" customWidth="1"/>
    <col min="9719" max="9719" width="10.7109375" style="428" bestFit="1" customWidth="1"/>
    <col min="9720" max="9720" width="10.28515625" style="428" bestFit="1" customWidth="1"/>
    <col min="9721" max="9721" width="11.85546875" style="428" bestFit="1" customWidth="1"/>
    <col min="9722" max="9722" width="15.42578125" style="428" customWidth="1"/>
    <col min="9723" max="9966" width="9.140625" style="428"/>
    <col min="9967" max="9967" width="14.5703125" style="428" customWidth="1"/>
    <col min="9968" max="9968" width="55" style="428" customWidth="1"/>
    <col min="9969" max="9969" width="15.85546875" style="428" customWidth="1"/>
    <col min="9970" max="9970" width="19.85546875" style="428" customWidth="1"/>
    <col min="9971" max="9971" width="19.140625" style="428" bestFit="1" customWidth="1"/>
    <col min="9972" max="9972" width="15.140625" style="428" customWidth="1"/>
    <col min="9973" max="9973" width="12.5703125" style="428" customWidth="1"/>
    <col min="9974" max="9974" width="15.7109375" style="428" customWidth="1"/>
    <col min="9975" max="9975" width="10.7109375" style="428" bestFit="1" customWidth="1"/>
    <col min="9976" max="9976" width="10.28515625" style="428" bestFit="1" customWidth="1"/>
    <col min="9977" max="9977" width="11.85546875" style="428" bestFit="1" customWidth="1"/>
    <col min="9978" max="9978" width="15.42578125" style="428" customWidth="1"/>
    <col min="9979" max="10222" width="9.140625" style="428"/>
    <col min="10223" max="10223" width="14.5703125" style="428" customWidth="1"/>
    <col min="10224" max="10224" width="55" style="428" customWidth="1"/>
    <col min="10225" max="10225" width="15.85546875" style="428" customWidth="1"/>
    <col min="10226" max="10226" width="19.85546875" style="428" customWidth="1"/>
    <col min="10227" max="10227" width="19.140625" style="428" bestFit="1" customWidth="1"/>
    <col min="10228" max="10228" width="15.140625" style="428" customWidth="1"/>
    <col min="10229" max="10229" width="12.5703125" style="428" customWidth="1"/>
    <col min="10230" max="10230" width="15.7109375" style="428" customWidth="1"/>
    <col min="10231" max="10231" width="10.7109375" style="428" bestFit="1" customWidth="1"/>
    <col min="10232" max="10232" width="10.28515625" style="428" bestFit="1" customWidth="1"/>
    <col min="10233" max="10233" width="11.85546875" style="428" bestFit="1" customWidth="1"/>
    <col min="10234" max="10234" width="15.42578125" style="428" customWidth="1"/>
    <col min="10235" max="10478" width="9.140625" style="428"/>
    <col min="10479" max="10479" width="14.5703125" style="428" customWidth="1"/>
    <col min="10480" max="10480" width="55" style="428" customWidth="1"/>
    <col min="10481" max="10481" width="15.85546875" style="428" customWidth="1"/>
    <col min="10482" max="10482" width="19.85546875" style="428" customWidth="1"/>
    <col min="10483" max="10483" width="19.140625" style="428" bestFit="1" customWidth="1"/>
    <col min="10484" max="10484" width="15.140625" style="428" customWidth="1"/>
    <col min="10485" max="10485" width="12.5703125" style="428" customWidth="1"/>
    <col min="10486" max="10486" width="15.7109375" style="428" customWidth="1"/>
    <col min="10487" max="10487" width="10.7109375" style="428" bestFit="1" customWidth="1"/>
    <col min="10488" max="10488" width="10.28515625" style="428" bestFit="1" customWidth="1"/>
    <col min="10489" max="10489" width="11.85546875" style="428" bestFit="1" customWidth="1"/>
    <col min="10490" max="10490" width="15.42578125" style="428" customWidth="1"/>
    <col min="10491" max="10734" width="9.140625" style="428"/>
    <col min="10735" max="10735" width="14.5703125" style="428" customWidth="1"/>
    <col min="10736" max="10736" width="55" style="428" customWidth="1"/>
    <col min="10737" max="10737" width="15.85546875" style="428" customWidth="1"/>
    <col min="10738" max="10738" width="19.85546875" style="428" customWidth="1"/>
    <col min="10739" max="10739" width="19.140625" style="428" bestFit="1" customWidth="1"/>
    <col min="10740" max="10740" width="15.140625" style="428" customWidth="1"/>
    <col min="10741" max="10741" width="12.5703125" style="428" customWidth="1"/>
    <col min="10742" max="10742" width="15.7109375" style="428" customWidth="1"/>
    <col min="10743" max="10743" width="10.7109375" style="428" bestFit="1" customWidth="1"/>
    <col min="10744" max="10744" width="10.28515625" style="428" bestFit="1" customWidth="1"/>
    <col min="10745" max="10745" width="11.85546875" style="428" bestFit="1" customWidth="1"/>
    <col min="10746" max="10746" width="15.42578125" style="428" customWidth="1"/>
    <col min="10747" max="10990" width="9.140625" style="428"/>
    <col min="10991" max="10991" width="14.5703125" style="428" customWidth="1"/>
    <col min="10992" max="10992" width="55" style="428" customWidth="1"/>
    <col min="10993" max="10993" width="15.85546875" style="428" customWidth="1"/>
    <col min="10994" max="10994" width="19.85546875" style="428" customWidth="1"/>
    <col min="10995" max="10995" width="19.140625" style="428" bestFit="1" customWidth="1"/>
    <col min="10996" max="10996" width="15.140625" style="428" customWidth="1"/>
    <col min="10997" max="10997" width="12.5703125" style="428" customWidth="1"/>
    <col min="10998" max="10998" width="15.7109375" style="428" customWidth="1"/>
    <col min="10999" max="10999" width="10.7109375" style="428" bestFit="1" customWidth="1"/>
    <col min="11000" max="11000" width="10.28515625" style="428" bestFit="1" customWidth="1"/>
    <col min="11001" max="11001" width="11.85546875" style="428" bestFit="1" customWidth="1"/>
    <col min="11002" max="11002" width="15.42578125" style="428" customWidth="1"/>
    <col min="11003" max="11246" width="9.140625" style="428"/>
    <col min="11247" max="11247" width="14.5703125" style="428" customWidth="1"/>
    <col min="11248" max="11248" width="55" style="428" customWidth="1"/>
    <col min="11249" max="11249" width="15.85546875" style="428" customWidth="1"/>
    <col min="11250" max="11250" width="19.85546875" style="428" customWidth="1"/>
    <col min="11251" max="11251" width="19.140625" style="428" bestFit="1" customWidth="1"/>
    <col min="11252" max="11252" width="15.140625" style="428" customWidth="1"/>
    <col min="11253" max="11253" width="12.5703125" style="428" customWidth="1"/>
    <col min="11254" max="11254" width="15.7109375" style="428" customWidth="1"/>
    <col min="11255" max="11255" width="10.7109375" style="428" bestFit="1" customWidth="1"/>
    <col min="11256" max="11256" width="10.28515625" style="428" bestFit="1" customWidth="1"/>
    <col min="11257" max="11257" width="11.85546875" style="428" bestFit="1" customWidth="1"/>
    <col min="11258" max="11258" width="15.42578125" style="428" customWidth="1"/>
    <col min="11259" max="11502" width="9.140625" style="428"/>
    <col min="11503" max="11503" width="14.5703125" style="428" customWidth="1"/>
    <col min="11504" max="11504" width="55" style="428" customWidth="1"/>
    <col min="11505" max="11505" width="15.85546875" style="428" customWidth="1"/>
    <col min="11506" max="11506" width="19.85546875" style="428" customWidth="1"/>
    <col min="11507" max="11507" width="19.140625" style="428" bestFit="1" customWidth="1"/>
    <col min="11508" max="11508" width="15.140625" style="428" customWidth="1"/>
    <col min="11509" max="11509" width="12.5703125" style="428" customWidth="1"/>
    <col min="11510" max="11510" width="15.7109375" style="428" customWidth="1"/>
    <col min="11511" max="11511" width="10.7109375" style="428" bestFit="1" customWidth="1"/>
    <col min="11512" max="11512" width="10.28515625" style="428" bestFit="1" customWidth="1"/>
    <col min="11513" max="11513" width="11.85546875" style="428" bestFit="1" customWidth="1"/>
    <col min="11514" max="11514" width="15.42578125" style="428" customWidth="1"/>
    <col min="11515" max="11758" width="9.140625" style="428"/>
    <col min="11759" max="11759" width="14.5703125" style="428" customWidth="1"/>
    <col min="11760" max="11760" width="55" style="428" customWidth="1"/>
    <col min="11761" max="11761" width="15.85546875" style="428" customWidth="1"/>
    <col min="11762" max="11762" width="19.85546875" style="428" customWidth="1"/>
    <col min="11763" max="11763" width="19.140625" style="428" bestFit="1" customWidth="1"/>
    <col min="11764" max="11764" width="15.140625" style="428" customWidth="1"/>
    <col min="11765" max="11765" width="12.5703125" style="428" customWidth="1"/>
    <col min="11766" max="11766" width="15.7109375" style="428" customWidth="1"/>
    <col min="11767" max="11767" width="10.7109375" style="428" bestFit="1" customWidth="1"/>
    <col min="11768" max="11768" width="10.28515625" style="428" bestFit="1" customWidth="1"/>
    <col min="11769" max="11769" width="11.85546875" style="428" bestFit="1" customWidth="1"/>
    <col min="11770" max="11770" width="15.42578125" style="428" customWidth="1"/>
    <col min="11771" max="12014" width="9.140625" style="428"/>
    <col min="12015" max="12015" width="14.5703125" style="428" customWidth="1"/>
    <col min="12016" max="12016" width="55" style="428" customWidth="1"/>
    <col min="12017" max="12017" width="15.85546875" style="428" customWidth="1"/>
    <col min="12018" max="12018" width="19.85546875" style="428" customWidth="1"/>
    <col min="12019" max="12019" width="19.140625" style="428" bestFit="1" customWidth="1"/>
    <col min="12020" max="12020" width="15.140625" style="428" customWidth="1"/>
    <col min="12021" max="12021" width="12.5703125" style="428" customWidth="1"/>
    <col min="12022" max="12022" width="15.7109375" style="428" customWidth="1"/>
    <col min="12023" max="12023" width="10.7109375" style="428" bestFit="1" customWidth="1"/>
    <col min="12024" max="12024" width="10.28515625" style="428" bestFit="1" customWidth="1"/>
    <col min="12025" max="12025" width="11.85546875" style="428" bestFit="1" customWidth="1"/>
    <col min="12026" max="12026" width="15.42578125" style="428" customWidth="1"/>
    <col min="12027" max="12270" width="9.140625" style="428"/>
    <col min="12271" max="12271" width="14.5703125" style="428" customWidth="1"/>
    <col min="12272" max="12272" width="55" style="428" customWidth="1"/>
    <col min="12273" max="12273" width="15.85546875" style="428" customWidth="1"/>
    <col min="12274" max="12274" width="19.85546875" style="428" customWidth="1"/>
    <col min="12275" max="12275" width="19.140625" style="428" bestFit="1" customWidth="1"/>
    <col min="12276" max="12276" width="15.140625" style="428" customWidth="1"/>
    <col min="12277" max="12277" width="12.5703125" style="428" customWidth="1"/>
    <col min="12278" max="12278" width="15.7109375" style="428" customWidth="1"/>
    <col min="12279" max="12279" width="10.7109375" style="428" bestFit="1" customWidth="1"/>
    <col min="12280" max="12280" width="10.28515625" style="428" bestFit="1" customWidth="1"/>
    <col min="12281" max="12281" width="11.85546875" style="428" bestFit="1" customWidth="1"/>
    <col min="12282" max="12282" width="15.42578125" style="428" customWidth="1"/>
    <col min="12283" max="12526" width="9.140625" style="428"/>
    <col min="12527" max="12527" width="14.5703125" style="428" customWidth="1"/>
    <col min="12528" max="12528" width="55" style="428" customWidth="1"/>
    <col min="12529" max="12529" width="15.85546875" style="428" customWidth="1"/>
    <col min="12530" max="12530" width="19.85546875" style="428" customWidth="1"/>
    <col min="12531" max="12531" width="19.140625" style="428" bestFit="1" customWidth="1"/>
    <col min="12532" max="12532" width="15.140625" style="428" customWidth="1"/>
    <col min="12533" max="12533" width="12.5703125" style="428" customWidth="1"/>
    <col min="12534" max="12534" width="15.7109375" style="428" customWidth="1"/>
    <col min="12535" max="12535" width="10.7109375" style="428" bestFit="1" customWidth="1"/>
    <col min="12536" max="12536" width="10.28515625" style="428" bestFit="1" customWidth="1"/>
    <col min="12537" max="12537" width="11.85546875" style="428" bestFit="1" customWidth="1"/>
    <col min="12538" max="12538" width="15.42578125" style="428" customWidth="1"/>
    <col min="12539" max="12782" width="9.140625" style="428"/>
    <col min="12783" max="12783" width="14.5703125" style="428" customWidth="1"/>
    <col min="12784" max="12784" width="55" style="428" customWidth="1"/>
    <col min="12785" max="12785" width="15.85546875" style="428" customWidth="1"/>
    <col min="12786" max="12786" width="19.85546875" style="428" customWidth="1"/>
    <col min="12787" max="12787" width="19.140625" style="428" bestFit="1" customWidth="1"/>
    <col min="12788" max="12788" width="15.140625" style="428" customWidth="1"/>
    <col min="12789" max="12789" width="12.5703125" style="428" customWidth="1"/>
    <col min="12790" max="12790" width="15.7109375" style="428" customWidth="1"/>
    <col min="12791" max="12791" width="10.7109375" style="428" bestFit="1" customWidth="1"/>
    <col min="12792" max="12792" width="10.28515625" style="428" bestFit="1" customWidth="1"/>
    <col min="12793" max="12793" width="11.85546875" style="428" bestFit="1" customWidth="1"/>
    <col min="12794" max="12794" width="15.42578125" style="428" customWidth="1"/>
    <col min="12795" max="13038" width="9.140625" style="428"/>
    <col min="13039" max="13039" width="14.5703125" style="428" customWidth="1"/>
    <col min="13040" max="13040" width="55" style="428" customWidth="1"/>
    <col min="13041" max="13041" width="15.85546875" style="428" customWidth="1"/>
    <col min="13042" max="13042" width="19.85546875" style="428" customWidth="1"/>
    <col min="13043" max="13043" width="19.140625" style="428" bestFit="1" customWidth="1"/>
    <col min="13044" max="13044" width="15.140625" style="428" customWidth="1"/>
    <col min="13045" max="13045" width="12.5703125" style="428" customWidth="1"/>
    <col min="13046" max="13046" width="15.7109375" style="428" customWidth="1"/>
    <col min="13047" max="13047" width="10.7109375" style="428" bestFit="1" customWidth="1"/>
    <col min="13048" max="13048" width="10.28515625" style="428" bestFit="1" customWidth="1"/>
    <col min="13049" max="13049" width="11.85546875" style="428" bestFit="1" customWidth="1"/>
    <col min="13050" max="13050" width="15.42578125" style="428" customWidth="1"/>
    <col min="13051" max="13294" width="9.140625" style="428"/>
    <col min="13295" max="13295" width="14.5703125" style="428" customWidth="1"/>
    <col min="13296" max="13296" width="55" style="428" customWidth="1"/>
    <col min="13297" max="13297" width="15.85546875" style="428" customWidth="1"/>
    <col min="13298" max="13298" width="19.85546875" style="428" customWidth="1"/>
    <col min="13299" max="13299" width="19.140625" style="428" bestFit="1" customWidth="1"/>
    <col min="13300" max="13300" width="15.140625" style="428" customWidth="1"/>
    <col min="13301" max="13301" width="12.5703125" style="428" customWidth="1"/>
    <col min="13302" max="13302" width="15.7109375" style="428" customWidth="1"/>
    <col min="13303" max="13303" width="10.7109375" style="428" bestFit="1" customWidth="1"/>
    <col min="13304" max="13304" width="10.28515625" style="428" bestFit="1" customWidth="1"/>
    <col min="13305" max="13305" width="11.85546875" style="428" bestFit="1" customWidth="1"/>
    <col min="13306" max="13306" width="15.42578125" style="428" customWidth="1"/>
    <col min="13307" max="13550" width="9.140625" style="428"/>
    <col min="13551" max="13551" width="14.5703125" style="428" customWidth="1"/>
    <col min="13552" max="13552" width="55" style="428" customWidth="1"/>
    <col min="13553" max="13553" width="15.85546875" style="428" customWidth="1"/>
    <col min="13554" max="13554" width="19.85546875" style="428" customWidth="1"/>
    <col min="13555" max="13555" width="19.140625" style="428" bestFit="1" customWidth="1"/>
    <col min="13556" max="13556" width="15.140625" style="428" customWidth="1"/>
    <col min="13557" max="13557" width="12.5703125" style="428" customWidth="1"/>
    <col min="13558" max="13558" width="15.7109375" style="428" customWidth="1"/>
    <col min="13559" max="13559" width="10.7109375" style="428" bestFit="1" customWidth="1"/>
    <col min="13560" max="13560" width="10.28515625" style="428" bestFit="1" customWidth="1"/>
    <col min="13561" max="13561" width="11.85546875" style="428" bestFit="1" customWidth="1"/>
    <col min="13562" max="13562" width="15.42578125" style="428" customWidth="1"/>
    <col min="13563" max="13806" width="9.140625" style="428"/>
    <col min="13807" max="13807" width="14.5703125" style="428" customWidth="1"/>
    <col min="13808" max="13808" width="55" style="428" customWidth="1"/>
    <col min="13809" max="13809" width="15.85546875" style="428" customWidth="1"/>
    <col min="13810" max="13810" width="19.85546875" style="428" customWidth="1"/>
    <col min="13811" max="13811" width="19.140625" style="428" bestFit="1" customWidth="1"/>
    <col min="13812" max="13812" width="15.140625" style="428" customWidth="1"/>
    <col min="13813" max="13813" width="12.5703125" style="428" customWidth="1"/>
    <col min="13814" max="13814" width="15.7109375" style="428" customWidth="1"/>
    <col min="13815" max="13815" width="10.7109375" style="428" bestFit="1" customWidth="1"/>
    <col min="13816" max="13816" width="10.28515625" style="428" bestFit="1" customWidth="1"/>
    <col min="13817" max="13817" width="11.85546875" style="428" bestFit="1" customWidth="1"/>
    <col min="13818" max="13818" width="15.42578125" style="428" customWidth="1"/>
    <col min="13819" max="14062" width="9.140625" style="428"/>
    <col min="14063" max="14063" width="14.5703125" style="428" customWidth="1"/>
    <col min="14064" max="14064" width="55" style="428" customWidth="1"/>
    <col min="14065" max="14065" width="15.85546875" style="428" customWidth="1"/>
    <col min="14066" max="14066" width="19.85546875" style="428" customWidth="1"/>
    <col min="14067" max="14067" width="19.140625" style="428" bestFit="1" customWidth="1"/>
    <col min="14068" max="14068" width="15.140625" style="428" customWidth="1"/>
    <col min="14069" max="14069" width="12.5703125" style="428" customWidth="1"/>
    <col min="14070" max="14070" width="15.7109375" style="428" customWidth="1"/>
    <col min="14071" max="14071" width="10.7109375" style="428" bestFit="1" customWidth="1"/>
    <col min="14072" max="14072" width="10.28515625" style="428" bestFit="1" customWidth="1"/>
    <col min="14073" max="14073" width="11.85546875" style="428" bestFit="1" customWidth="1"/>
    <col min="14074" max="14074" width="15.42578125" style="428" customWidth="1"/>
    <col min="14075" max="14318" width="9.140625" style="428"/>
    <col min="14319" max="14319" width="14.5703125" style="428" customWidth="1"/>
    <col min="14320" max="14320" width="55" style="428" customWidth="1"/>
    <col min="14321" max="14321" width="15.85546875" style="428" customWidth="1"/>
    <col min="14322" max="14322" width="19.85546875" style="428" customWidth="1"/>
    <col min="14323" max="14323" width="19.140625" style="428" bestFit="1" customWidth="1"/>
    <col min="14324" max="14324" width="15.140625" style="428" customWidth="1"/>
    <col min="14325" max="14325" width="12.5703125" style="428" customWidth="1"/>
    <col min="14326" max="14326" width="15.7109375" style="428" customWidth="1"/>
    <col min="14327" max="14327" width="10.7109375" style="428" bestFit="1" customWidth="1"/>
    <col min="14328" max="14328" width="10.28515625" style="428" bestFit="1" customWidth="1"/>
    <col min="14329" max="14329" width="11.85546875" style="428" bestFit="1" customWidth="1"/>
    <col min="14330" max="14330" width="15.42578125" style="428" customWidth="1"/>
    <col min="14331" max="14574" width="9.140625" style="428"/>
    <col min="14575" max="14575" width="14.5703125" style="428" customWidth="1"/>
    <col min="14576" max="14576" width="55" style="428" customWidth="1"/>
    <col min="14577" max="14577" width="15.85546875" style="428" customWidth="1"/>
    <col min="14578" max="14578" width="19.85546875" style="428" customWidth="1"/>
    <col min="14579" max="14579" width="19.140625" style="428" bestFit="1" customWidth="1"/>
    <col min="14580" max="14580" width="15.140625" style="428" customWidth="1"/>
    <col min="14581" max="14581" width="12.5703125" style="428" customWidth="1"/>
    <col min="14582" max="14582" width="15.7109375" style="428" customWidth="1"/>
    <col min="14583" max="14583" width="10.7109375" style="428" bestFit="1" customWidth="1"/>
    <col min="14584" max="14584" width="10.28515625" style="428" bestFit="1" customWidth="1"/>
    <col min="14585" max="14585" width="11.85546875" style="428" bestFit="1" customWidth="1"/>
    <col min="14586" max="14586" width="15.42578125" style="428" customWidth="1"/>
    <col min="14587" max="14830" width="9.140625" style="428"/>
    <col min="14831" max="14831" width="14.5703125" style="428" customWidth="1"/>
    <col min="14832" max="14832" width="55" style="428" customWidth="1"/>
    <col min="14833" max="14833" width="15.85546875" style="428" customWidth="1"/>
    <col min="14834" max="14834" width="19.85546875" style="428" customWidth="1"/>
    <col min="14835" max="14835" width="19.140625" style="428" bestFit="1" customWidth="1"/>
    <col min="14836" max="14836" width="15.140625" style="428" customWidth="1"/>
    <col min="14837" max="14837" width="12.5703125" style="428" customWidth="1"/>
    <col min="14838" max="14838" width="15.7109375" style="428" customWidth="1"/>
    <col min="14839" max="14839" width="10.7109375" style="428" bestFit="1" customWidth="1"/>
    <col min="14840" max="14840" width="10.28515625" style="428" bestFit="1" customWidth="1"/>
    <col min="14841" max="14841" width="11.85546875" style="428" bestFit="1" customWidth="1"/>
    <col min="14842" max="14842" width="15.42578125" style="428" customWidth="1"/>
    <col min="14843" max="15086" width="9.140625" style="428"/>
    <col min="15087" max="15087" width="14.5703125" style="428" customWidth="1"/>
    <col min="15088" max="15088" width="55" style="428" customWidth="1"/>
    <col min="15089" max="15089" width="15.85546875" style="428" customWidth="1"/>
    <col min="15090" max="15090" width="19.85546875" style="428" customWidth="1"/>
    <col min="15091" max="15091" width="19.140625" style="428" bestFit="1" customWidth="1"/>
    <col min="15092" max="15092" width="15.140625" style="428" customWidth="1"/>
    <col min="15093" max="15093" width="12.5703125" style="428" customWidth="1"/>
    <col min="15094" max="15094" width="15.7109375" style="428" customWidth="1"/>
    <col min="15095" max="15095" width="10.7109375" style="428" bestFit="1" customWidth="1"/>
    <col min="15096" max="15096" width="10.28515625" style="428" bestFit="1" customWidth="1"/>
    <col min="15097" max="15097" width="11.85546875" style="428" bestFit="1" customWidth="1"/>
    <col min="15098" max="15098" width="15.42578125" style="428" customWidth="1"/>
    <col min="15099" max="15342" width="9.140625" style="428"/>
    <col min="15343" max="15343" width="14.5703125" style="428" customWidth="1"/>
    <col min="15344" max="15344" width="55" style="428" customWidth="1"/>
    <col min="15345" max="15345" width="15.85546875" style="428" customWidth="1"/>
    <col min="15346" max="15346" width="19.85546875" style="428" customWidth="1"/>
    <col min="15347" max="15347" width="19.140625" style="428" bestFit="1" customWidth="1"/>
    <col min="15348" max="15348" width="15.140625" style="428" customWidth="1"/>
    <col min="15349" max="15349" width="12.5703125" style="428" customWidth="1"/>
    <col min="15350" max="15350" width="15.7109375" style="428" customWidth="1"/>
    <col min="15351" max="15351" width="10.7109375" style="428" bestFit="1" customWidth="1"/>
    <col min="15352" max="15352" width="10.28515625" style="428" bestFit="1" customWidth="1"/>
    <col min="15353" max="15353" width="11.85546875" style="428" bestFit="1" customWidth="1"/>
    <col min="15354" max="15354" width="15.42578125" style="428" customWidth="1"/>
    <col min="15355" max="15598" width="9.140625" style="428"/>
    <col min="15599" max="15599" width="14.5703125" style="428" customWidth="1"/>
    <col min="15600" max="15600" width="55" style="428" customWidth="1"/>
    <col min="15601" max="15601" width="15.85546875" style="428" customWidth="1"/>
    <col min="15602" max="15602" width="19.85546875" style="428" customWidth="1"/>
    <col min="15603" max="15603" width="19.140625" style="428" bestFit="1" customWidth="1"/>
    <col min="15604" max="15604" width="15.140625" style="428" customWidth="1"/>
    <col min="15605" max="15605" width="12.5703125" style="428" customWidth="1"/>
    <col min="15606" max="15606" width="15.7109375" style="428" customWidth="1"/>
    <col min="15607" max="15607" width="10.7109375" style="428" bestFit="1" customWidth="1"/>
    <col min="15608" max="15608" width="10.28515625" style="428" bestFit="1" customWidth="1"/>
    <col min="15609" max="15609" width="11.85546875" style="428" bestFit="1" customWidth="1"/>
    <col min="15610" max="15610" width="15.42578125" style="428" customWidth="1"/>
    <col min="15611" max="15854" width="9.140625" style="428"/>
    <col min="15855" max="15855" width="14.5703125" style="428" customWidth="1"/>
    <col min="15856" max="15856" width="55" style="428" customWidth="1"/>
    <col min="15857" max="15857" width="15.85546875" style="428" customWidth="1"/>
    <col min="15858" max="15858" width="19.85546875" style="428" customWidth="1"/>
    <col min="15859" max="15859" width="19.140625" style="428" bestFit="1" customWidth="1"/>
    <col min="15860" max="15860" width="15.140625" style="428" customWidth="1"/>
    <col min="15861" max="15861" width="12.5703125" style="428" customWidth="1"/>
    <col min="15862" max="15862" width="15.7109375" style="428" customWidth="1"/>
    <col min="15863" max="15863" width="10.7109375" style="428" bestFit="1" customWidth="1"/>
    <col min="15864" max="15864" width="10.28515625" style="428" bestFit="1" customWidth="1"/>
    <col min="15865" max="15865" width="11.85546875" style="428" bestFit="1" customWidth="1"/>
    <col min="15866" max="15866" width="15.42578125" style="428" customWidth="1"/>
    <col min="15867" max="16110" width="9.140625" style="428"/>
    <col min="16111" max="16111" width="14.5703125" style="428" customWidth="1"/>
    <col min="16112" max="16112" width="55" style="428" customWidth="1"/>
    <col min="16113" max="16113" width="15.85546875" style="428" customWidth="1"/>
    <col min="16114" max="16114" width="19.85546875" style="428" customWidth="1"/>
    <col min="16115" max="16115" width="19.140625" style="428" bestFit="1" customWidth="1"/>
    <col min="16116" max="16116" width="15.140625" style="428" customWidth="1"/>
    <col min="16117" max="16117" width="12.5703125" style="428" customWidth="1"/>
    <col min="16118" max="16118" width="15.7109375" style="428" customWidth="1"/>
    <col min="16119" max="16119" width="10.7109375" style="428" bestFit="1" customWidth="1"/>
    <col min="16120" max="16120" width="10.28515625" style="428" bestFit="1" customWidth="1"/>
    <col min="16121" max="16121" width="11.85546875" style="428" bestFit="1" customWidth="1"/>
    <col min="16122" max="16122" width="15.42578125" style="428" customWidth="1"/>
    <col min="16123" max="16384" width="9.140625" style="428"/>
  </cols>
  <sheetData>
    <row r="1" spans="1:7" s="410" customFormat="1" x14ac:dyDescent="0.25">
      <c r="A1" s="596" t="s">
        <v>318</v>
      </c>
      <c r="B1" s="596"/>
      <c r="C1" s="596"/>
      <c r="D1" s="596"/>
      <c r="E1" s="596"/>
      <c r="F1" s="596"/>
      <c r="G1" s="596"/>
    </row>
    <row r="2" spans="1:7" s="410" customFormat="1" x14ac:dyDescent="0.25">
      <c r="A2" s="596" t="s">
        <v>319</v>
      </c>
      <c r="B2" s="596"/>
      <c r="C2" s="596"/>
      <c r="D2" s="596"/>
      <c r="E2" s="596"/>
      <c r="F2" s="596"/>
      <c r="G2" s="596"/>
    </row>
    <row r="3" spans="1:7" s="413" customFormat="1" x14ac:dyDescent="0.25">
      <c r="A3" s="411"/>
      <c r="B3" s="411"/>
      <c r="C3" s="411"/>
      <c r="D3" s="411"/>
      <c r="E3" s="412"/>
      <c r="F3" s="447"/>
      <c r="G3" s="447"/>
    </row>
    <row r="4" spans="1:7" s="413" customFormat="1" ht="31.5" x14ac:dyDescent="0.25">
      <c r="A4" s="414" t="s">
        <v>320</v>
      </c>
      <c r="B4" s="414" t="s">
        <v>321</v>
      </c>
      <c r="C4" s="127" t="s">
        <v>567</v>
      </c>
      <c r="D4" s="127" t="s">
        <v>571</v>
      </c>
      <c r="E4" s="344" t="s">
        <v>569</v>
      </c>
      <c r="F4" s="116" t="s">
        <v>570</v>
      </c>
      <c r="G4" s="117" t="s">
        <v>568</v>
      </c>
    </row>
    <row r="5" spans="1:7" s="416" customFormat="1" x14ac:dyDescent="0.25">
      <c r="A5" s="448" t="s">
        <v>322</v>
      </c>
      <c r="B5" s="449" t="s">
        <v>323</v>
      </c>
      <c r="C5" s="415">
        <f>C7+C194+C295+C338+C354+C374+C382+C428+C434+C445+C491+C510+C529+C548+C577+C608+C648+C691</f>
        <v>5931700.1700000009</v>
      </c>
      <c r="D5" s="415">
        <f t="shared" ref="D5:G5" si="0">D7+D194+D295+D338+D354+D374+D382+D428+D434+D445+D491+D510+D529+D548+D577+D608+D648+D691</f>
        <v>4614031.7699999996</v>
      </c>
      <c r="E5" s="415">
        <f t="shared" si="0"/>
        <v>5674498.2299999995</v>
      </c>
      <c r="F5" s="415">
        <f t="shared" si="0"/>
        <v>5750359.5899999999</v>
      </c>
      <c r="G5" s="415">
        <f t="shared" si="0"/>
        <v>5794611.3300000001</v>
      </c>
    </row>
    <row r="6" spans="1:7" s="413" customFormat="1" x14ac:dyDescent="0.25">
      <c r="A6" s="417" t="s">
        <v>324</v>
      </c>
      <c r="B6" s="418" t="s">
        <v>325</v>
      </c>
      <c r="C6" s="419">
        <f>C7+C194+C295+C338+C354+C374+C382+C428+C434</f>
        <v>4952099.2000000011</v>
      </c>
      <c r="D6" s="419">
        <f t="shared" ref="D6:G6" si="1">D7+D194+D295+D338+D354+D374+D382+D428+D434</f>
        <v>4193568.41</v>
      </c>
      <c r="E6" s="419">
        <f t="shared" si="1"/>
        <v>5153624.99</v>
      </c>
      <c r="F6" s="419">
        <f t="shared" si="1"/>
        <v>5243486.3500000006</v>
      </c>
      <c r="G6" s="419">
        <f t="shared" si="1"/>
        <v>5333437.4300000006</v>
      </c>
    </row>
    <row r="7" spans="1:7" s="423" customFormat="1" x14ac:dyDescent="0.25">
      <c r="A7" s="420">
        <v>43</v>
      </c>
      <c r="B7" s="421" t="s">
        <v>56</v>
      </c>
      <c r="C7" s="422">
        <f t="shared" ref="C7:G7" si="2">C8+C159</f>
        <v>4777402.2700000005</v>
      </c>
      <c r="D7" s="422">
        <f t="shared" si="2"/>
        <v>3705637.47</v>
      </c>
      <c r="E7" s="422">
        <f t="shared" si="2"/>
        <v>4915694.05</v>
      </c>
      <c r="F7" s="422">
        <f t="shared" si="2"/>
        <v>5005105.41</v>
      </c>
      <c r="G7" s="422">
        <f t="shared" si="2"/>
        <v>5094606.49</v>
      </c>
    </row>
    <row r="8" spans="1:7" s="427" customFormat="1" x14ac:dyDescent="0.25">
      <c r="A8" s="424">
        <v>3</v>
      </c>
      <c r="B8" s="425" t="s">
        <v>88</v>
      </c>
      <c r="C8" s="426">
        <f t="shared" ref="C8:D8" si="3">C9+C32+C128+C140+C143+C148</f>
        <v>4756406.24</v>
      </c>
      <c r="D8" s="426">
        <f t="shared" si="3"/>
        <v>3580125.3000000003</v>
      </c>
      <c r="E8" s="426">
        <f>E9+E32+E128+E140+E143+E148</f>
        <v>4830321.7699999996</v>
      </c>
      <c r="F8" s="426">
        <f>F9+F32+F128+F140+F143+F148</f>
        <v>4916783.13</v>
      </c>
      <c r="G8" s="426">
        <f>G9+G32+G128+G140+G143+G148</f>
        <v>5003334.21</v>
      </c>
    </row>
    <row r="9" spans="1:7" s="413" customFormat="1" x14ac:dyDescent="0.25">
      <c r="A9" s="450">
        <v>31</v>
      </c>
      <c r="B9" s="451" t="s">
        <v>89</v>
      </c>
      <c r="C9" s="443">
        <f t="shared" ref="C9:D9" si="4">C10+C19+C27</f>
        <v>4058051.56</v>
      </c>
      <c r="D9" s="443">
        <f t="shared" si="4"/>
        <v>3002112.29</v>
      </c>
      <c r="E9" s="443">
        <f>E10+E19+E27</f>
        <v>4115156.15</v>
      </c>
      <c r="F9" s="443">
        <f t="shared" ref="F9:G9" si="5">F10+F19+F27</f>
        <v>4155283.61</v>
      </c>
      <c r="G9" s="443">
        <f t="shared" si="5"/>
        <v>4195288.84</v>
      </c>
    </row>
    <row r="10" spans="1:7" s="416" customFormat="1" x14ac:dyDescent="0.25">
      <c r="A10" s="452">
        <v>311</v>
      </c>
      <c r="B10" s="453" t="s">
        <v>90</v>
      </c>
      <c r="C10" s="415">
        <f t="shared" ref="C10:D10" si="6">C11+C14+C15+C17</f>
        <v>3379334.8000000003</v>
      </c>
      <c r="D10" s="415">
        <f t="shared" si="6"/>
        <v>2505491.41</v>
      </c>
      <c r="E10" s="415">
        <f>E11+E14+E15+E17</f>
        <v>3451867.31</v>
      </c>
      <c r="F10" s="415">
        <f t="shared" ref="F10:G10" si="7">F11+F14+F15+F17</f>
        <v>3484044.77</v>
      </c>
      <c r="G10" s="415">
        <f t="shared" si="7"/>
        <v>3516000</v>
      </c>
    </row>
    <row r="11" spans="1:7" s="416" customFormat="1" x14ac:dyDescent="0.25">
      <c r="A11" s="452">
        <v>3111</v>
      </c>
      <c r="B11" s="453" t="s">
        <v>91</v>
      </c>
      <c r="C11" s="415">
        <f t="shared" ref="C11:D11" si="8">SUM(C12:C13)</f>
        <v>3257753.0700000003</v>
      </c>
      <c r="D11" s="415">
        <f t="shared" si="8"/>
        <v>2456383.9700000002</v>
      </c>
      <c r="E11" s="415">
        <f>SUM(E12:E13)</f>
        <v>3371867.31</v>
      </c>
      <c r="F11" s="415">
        <f t="shared" ref="F11:G11" si="9">SUM(F12:F13)</f>
        <v>3402044.77</v>
      </c>
      <c r="G11" s="415">
        <f t="shared" si="9"/>
        <v>3432000</v>
      </c>
    </row>
    <row r="12" spans="1:7" x14ac:dyDescent="0.25">
      <c r="A12" s="454" t="s">
        <v>494</v>
      </c>
      <c r="B12" s="357" t="s">
        <v>91</v>
      </c>
      <c r="C12" s="455">
        <v>3256037.08</v>
      </c>
      <c r="D12" s="455">
        <v>2451383.9700000002</v>
      </c>
      <c r="E12" s="455">
        <v>3370067.31</v>
      </c>
      <c r="F12" s="455">
        <v>3400144.77</v>
      </c>
      <c r="G12" s="455">
        <v>3430000</v>
      </c>
    </row>
    <row r="13" spans="1:7" x14ac:dyDescent="0.25">
      <c r="A13" s="454" t="s">
        <v>495</v>
      </c>
      <c r="B13" s="357" t="s">
        <v>409</v>
      </c>
      <c r="C13" s="455">
        <v>1715.99</v>
      </c>
      <c r="D13" s="455">
        <v>5000</v>
      </c>
      <c r="E13" s="455">
        <v>1800</v>
      </c>
      <c r="F13" s="455">
        <v>1900</v>
      </c>
      <c r="G13" s="455">
        <v>2000</v>
      </c>
    </row>
    <row r="14" spans="1:7" x14ac:dyDescent="0.25">
      <c r="A14" s="452" t="s">
        <v>92</v>
      </c>
      <c r="B14" s="453" t="s">
        <v>93</v>
      </c>
      <c r="C14" s="456"/>
      <c r="D14" s="456"/>
      <c r="E14" s="456"/>
      <c r="F14" s="456"/>
      <c r="G14" s="456"/>
    </row>
    <row r="15" spans="1:7" x14ac:dyDescent="0.25">
      <c r="A15" s="452" t="s">
        <v>94</v>
      </c>
      <c r="B15" s="453" t="s">
        <v>95</v>
      </c>
      <c r="C15" s="456">
        <f t="shared" ref="C15:D15" si="10">SUM(C16)</f>
        <v>79831.87</v>
      </c>
      <c r="D15" s="456">
        <f t="shared" si="10"/>
        <v>49107.44</v>
      </c>
      <c r="E15" s="456">
        <f>SUM(E16)</f>
        <v>80000</v>
      </c>
      <c r="F15" s="456">
        <f t="shared" ref="F15:G15" si="11">SUM(F16)</f>
        <v>82000</v>
      </c>
      <c r="G15" s="456">
        <f t="shared" si="11"/>
        <v>84000</v>
      </c>
    </row>
    <row r="16" spans="1:7" x14ac:dyDescent="0.25">
      <c r="A16" s="454" t="s">
        <v>496</v>
      </c>
      <c r="B16" s="357" t="s">
        <v>95</v>
      </c>
      <c r="C16" s="455">
        <v>79831.87</v>
      </c>
      <c r="D16" s="455">
        <v>49107.44</v>
      </c>
      <c r="E16" s="455">
        <v>80000</v>
      </c>
      <c r="F16" s="455">
        <v>82000</v>
      </c>
      <c r="G16" s="455">
        <v>84000</v>
      </c>
    </row>
    <row r="17" spans="1:7" x14ac:dyDescent="0.25">
      <c r="A17" s="452" t="s">
        <v>96</v>
      </c>
      <c r="B17" s="453" t="s">
        <v>212</v>
      </c>
      <c r="C17" s="456">
        <f t="shared" ref="C17:D17" si="12">SUM(C18)</f>
        <v>41749.86</v>
      </c>
      <c r="D17" s="456">
        <f t="shared" si="12"/>
        <v>0</v>
      </c>
      <c r="E17" s="456">
        <f>SUM(E18)</f>
        <v>0</v>
      </c>
      <c r="F17" s="456">
        <f t="shared" ref="F17:G17" si="13">SUM(F18)</f>
        <v>0</v>
      </c>
      <c r="G17" s="456">
        <f t="shared" si="13"/>
        <v>0</v>
      </c>
    </row>
    <row r="18" spans="1:7" x14ac:dyDescent="0.25">
      <c r="A18" s="454" t="s">
        <v>497</v>
      </c>
      <c r="B18" s="357" t="s">
        <v>212</v>
      </c>
      <c r="C18" s="455">
        <v>41749.86</v>
      </c>
      <c r="D18" s="455">
        <v>0</v>
      </c>
      <c r="E18" s="455">
        <v>0</v>
      </c>
      <c r="F18" s="455">
        <v>0</v>
      </c>
      <c r="G18" s="455">
        <v>0</v>
      </c>
    </row>
    <row r="19" spans="1:7" x14ac:dyDescent="0.25">
      <c r="A19" s="452" t="s">
        <v>98</v>
      </c>
      <c r="B19" s="453" t="s">
        <v>99</v>
      </c>
      <c r="C19" s="415">
        <f t="shared" ref="C19:D19" si="14">C20</f>
        <v>142684.44</v>
      </c>
      <c r="D19" s="415">
        <f t="shared" si="14"/>
        <v>123214.88</v>
      </c>
      <c r="E19" s="415">
        <f>E20</f>
        <v>126800</v>
      </c>
      <c r="F19" s="415">
        <f t="shared" ref="F19:G19" si="15">F20</f>
        <v>132750</v>
      </c>
      <c r="G19" s="415">
        <f t="shared" si="15"/>
        <v>138800</v>
      </c>
    </row>
    <row r="20" spans="1:7" x14ac:dyDescent="0.25">
      <c r="A20" s="452" t="s">
        <v>100</v>
      </c>
      <c r="B20" s="453" t="s">
        <v>99</v>
      </c>
      <c r="C20" s="415">
        <f t="shared" ref="C20:D20" si="16">SUM(C21:C26)</f>
        <v>142684.44</v>
      </c>
      <c r="D20" s="415">
        <f t="shared" si="16"/>
        <v>123214.88</v>
      </c>
      <c r="E20" s="415">
        <f>SUM(E21:E26)</f>
        <v>126800</v>
      </c>
      <c r="F20" s="415">
        <f t="shared" ref="F20:G20" si="17">SUM(F21:F26)</f>
        <v>132750</v>
      </c>
      <c r="G20" s="415">
        <f t="shared" si="17"/>
        <v>138800</v>
      </c>
    </row>
    <row r="21" spans="1:7" x14ac:dyDescent="0.25">
      <c r="A21" s="454" t="s">
        <v>498</v>
      </c>
      <c r="B21" s="357" t="s">
        <v>411</v>
      </c>
      <c r="C21" s="438">
        <v>32979.199999999997</v>
      </c>
      <c r="D21" s="438">
        <v>13000</v>
      </c>
      <c r="E21" s="438">
        <v>28000</v>
      </c>
      <c r="F21" s="438">
        <v>29500</v>
      </c>
      <c r="G21" s="438">
        <v>31000</v>
      </c>
    </row>
    <row r="22" spans="1:7" x14ac:dyDescent="0.25">
      <c r="A22" s="454" t="s">
        <v>499</v>
      </c>
      <c r="B22" s="357" t="s">
        <v>413</v>
      </c>
      <c r="C22" s="438">
        <v>30736.17</v>
      </c>
      <c r="D22" s="438">
        <v>25000</v>
      </c>
      <c r="E22" s="438">
        <v>26000</v>
      </c>
      <c r="F22" s="438">
        <v>27000</v>
      </c>
      <c r="G22" s="438">
        <v>28000</v>
      </c>
    </row>
    <row r="23" spans="1:7" x14ac:dyDescent="0.25">
      <c r="A23" s="454" t="s">
        <v>500</v>
      </c>
      <c r="B23" s="357" t="s">
        <v>412</v>
      </c>
      <c r="C23" s="438">
        <v>0</v>
      </c>
      <c r="D23" s="438">
        <v>2000</v>
      </c>
      <c r="E23" s="438">
        <v>2000</v>
      </c>
      <c r="F23" s="438">
        <v>2250</v>
      </c>
      <c r="G23" s="438">
        <v>2500</v>
      </c>
    </row>
    <row r="24" spans="1:7" x14ac:dyDescent="0.25">
      <c r="A24" s="454" t="s">
        <v>501</v>
      </c>
      <c r="B24" s="357" t="s">
        <v>414</v>
      </c>
      <c r="C24" s="438">
        <v>4022.98</v>
      </c>
      <c r="D24" s="438">
        <v>3800</v>
      </c>
      <c r="E24" s="438">
        <v>3800</v>
      </c>
      <c r="F24" s="438">
        <v>4000</v>
      </c>
      <c r="G24" s="438">
        <v>4300</v>
      </c>
    </row>
    <row r="25" spans="1:7" x14ac:dyDescent="0.25">
      <c r="A25" s="454" t="s">
        <v>502</v>
      </c>
      <c r="B25" s="357" t="s">
        <v>415</v>
      </c>
      <c r="C25" s="438">
        <v>39600</v>
      </c>
      <c r="D25" s="438">
        <v>40000</v>
      </c>
      <c r="E25" s="438">
        <v>35000</v>
      </c>
      <c r="F25" s="438">
        <v>36500</v>
      </c>
      <c r="G25" s="438">
        <v>38000</v>
      </c>
    </row>
    <row r="26" spans="1:7" s="429" customFormat="1" x14ac:dyDescent="0.25">
      <c r="A26" s="454" t="s">
        <v>503</v>
      </c>
      <c r="B26" s="357" t="s">
        <v>410</v>
      </c>
      <c r="C26" s="455">
        <v>35346.089999999997</v>
      </c>
      <c r="D26" s="455">
        <f t="shared" ref="D26" si="18">123214.88-D21-D22-D23-D24-D25</f>
        <v>39414.880000000005</v>
      </c>
      <c r="E26" s="455">
        <v>32000</v>
      </c>
      <c r="F26" s="455">
        <v>33500</v>
      </c>
      <c r="G26" s="455">
        <v>35000</v>
      </c>
    </row>
    <row r="27" spans="1:7" s="416" customFormat="1" x14ac:dyDescent="0.25">
      <c r="A27" s="457">
        <v>313</v>
      </c>
      <c r="B27" s="453" t="s">
        <v>101</v>
      </c>
      <c r="C27" s="415">
        <f>C28+C30</f>
        <v>536032.31999999995</v>
      </c>
      <c r="D27" s="415">
        <f t="shared" ref="D27" si="19">D28+D30</f>
        <v>373406</v>
      </c>
      <c r="E27" s="415">
        <f>E28+E30</f>
        <v>536488.84</v>
      </c>
      <c r="F27" s="415">
        <f t="shared" ref="F27:G27" si="20">F28+F30</f>
        <v>538488.84</v>
      </c>
      <c r="G27" s="415">
        <f t="shared" si="20"/>
        <v>540488.84</v>
      </c>
    </row>
    <row r="28" spans="1:7" s="416" customFormat="1" x14ac:dyDescent="0.25">
      <c r="A28" s="457">
        <v>3132</v>
      </c>
      <c r="B28" s="453" t="s">
        <v>102</v>
      </c>
      <c r="C28" s="415">
        <f t="shared" ref="C28:D28" si="21">SUM(C29)</f>
        <v>535994.57999999996</v>
      </c>
      <c r="D28" s="415">
        <f t="shared" si="21"/>
        <v>373406</v>
      </c>
      <c r="E28" s="415">
        <f>SUM(E29)</f>
        <v>536488.84</v>
      </c>
      <c r="F28" s="415">
        <f t="shared" ref="F28:G28" si="22">SUM(F29)</f>
        <v>538488.84</v>
      </c>
      <c r="G28" s="415">
        <f t="shared" si="22"/>
        <v>540488.84</v>
      </c>
    </row>
    <row r="29" spans="1:7" x14ac:dyDescent="0.25">
      <c r="A29" s="458" t="s">
        <v>504</v>
      </c>
      <c r="B29" s="357" t="s">
        <v>102</v>
      </c>
      <c r="C29" s="455">
        <v>535994.57999999996</v>
      </c>
      <c r="D29" s="455">
        <v>373406</v>
      </c>
      <c r="E29" s="455">
        <v>536488.84</v>
      </c>
      <c r="F29" s="455">
        <v>538488.84</v>
      </c>
      <c r="G29" s="455">
        <v>540488.84</v>
      </c>
    </row>
    <row r="30" spans="1:7" x14ac:dyDescent="0.25">
      <c r="A30" s="457" t="s">
        <v>326</v>
      </c>
      <c r="B30" s="453" t="s">
        <v>574</v>
      </c>
      <c r="C30" s="415">
        <f>C31</f>
        <v>37.74</v>
      </c>
      <c r="D30" s="415">
        <f t="shared" ref="D30:G30" si="23">D31</f>
        <v>0</v>
      </c>
      <c r="E30" s="415">
        <f t="shared" si="23"/>
        <v>0</v>
      </c>
      <c r="F30" s="415">
        <f t="shared" si="23"/>
        <v>0</v>
      </c>
      <c r="G30" s="415">
        <f t="shared" si="23"/>
        <v>0</v>
      </c>
    </row>
    <row r="31" spans="1:7" x14ac:dyDescent="0.25">
      <c r="A31" s="458" t="s">
        <v>573</v>
      </c>
      <c r="B31" s="357" t="s">
        <v>575</v>
      </c>
      <c r="C31" s="438">
        <v>37.74</v>
      </c>
      <c r="D31" s="438">
        <v>0</v>
      </c>
      <c r="E31" s="438"/>
      <c r="F31" s="438"/>
      <c r="G31" s="438"/>
    </row>
    <row r="32" spans="1:7" x14ac:dyDescent="0.25">
      <c r="A32" s="450">
        <v>32</v>
      </c>
      <c r="B32" s="451" t="s">
        <v>103</v>
      </c>
      <c r="C32" s="443">
        <f>C33+C45+C70+C101+C104+C108</f>
        <v>682391.78000000014</v>
      </c>
      <c r="D32" s="443">
        <f t="shared" ref="D32:G32" si="24">D33+D45+D70+D101+D104+D108</f>
        <v>565540.49</v>
      </c>
      <c r="E32" s="443">
        <f t="shared" si="24"/>
        <v>705690.62</v>
      </c>
      <c r="F32" s="443">
        <f t="shared" si="24"/>
        <v>751729.52</v>
      </c>
      <c r="G32" s="443">
        <f t="shared" si="24"/>
        <v>797980.37</v>
      </c>
    </row>
    <row r="33" spans="1:7" s="416" customFormat="1" x14ac:dyDescent="0.25">
      <c r="A33" s="452">
        <v>321</v>
      </c>
      <c r="B33" s="453" t="s">
        <v>104</v>
      </c>
      <c r="C33" s="415">
        <f t="shared" ref="C33:D33" si="25">C34+C38+C40+C43</f>
        <v>100222.78000000001</v>
      </c>
      <c r="D33" s="415">
        <f t="shared" si="25"/>
        <v>106441.57</v>
      </c>
      <c r="E33" s="415">
        <f>E34+E38+E40+E43</f>
        <v>82594.290000000008</v>
      </c>
      <c r="F33" s="415">
        <f t="shared" ref="F33:G33" si="26">F34+F38+F40+F43</f>
        <v>85033.19</v>
      </c>
      <c r="G33" s="415">
        <f t="shared" si="26"/>
        <v>87584.040000000008</v>
      </c>
    </row>
    <row r="34" spans="1:7" s="416" customFormat="1" x14ac:dyDescent="0.25">
      <c r="A34" s="452" t="s">
        <v>105</v>
      </c>
      <c r="B34" s="453" t="s">
        <v>106</v>
      </c>
      <c r="C34" s="415">
        <f t="shared" ref="C34:D34" si="27">SUM(C35:C37)</f>
        <v>3262.24</v>
      </c>
      <c r="D34" s="415">
        <f t="shared" si="27"/>
        <v>18977.240000000002</v>
      </c>
      <c r="E34" s="415">
        <f>SUM(E35:E37)</f>
        <v>4000</v>
      </c>
      <c r="F34" s="415">
        <f t="shared" ref="F34:G34" si="28">SUM(F35:F37)</f>
        <v>4250</v>
      </c>
      <c r="G34" s="415">
        <f t="shared" si="28"/>
        <v>4500</v>
      </c>
    </row>
    <row r="35" spans="1:7" s="416" customFormat="1" x14ac:dyDescent="0.25">
      <c r="A35" s="454">
        <v>32111</v>
      </c>
      <c r="B35" s="357" t="s">
        <v>416</v>
      </c>
      <c r="C35" s="438">
        <v>2952.75</v>
      </c>
      <c r="D35" s="438">
        <v>11800</v>
      </c>
      <c r="E35" s="438">
        <v>3000</v>
      </c>
      <c r="F35" s="438">
        <v>3100</v>
      </c>
      <c r="G35" s="438">
        <v>3200</v>
      </c>
    </row>
    <row r="36" spans="1:7" s="416" customFormat="1" x14ac:dyDescent="0.25">
      <c r="A36" s="454">
        <v>32113</v>
      </c>
      <c r="B36" s="357" t="s">
        <v>418</v>
      </c>
      <c r="C36" s="438">
        <v>0</v>
      </c>
      <c r="D36" s="438">
        <v>700</v>
      </c>
      <c r="E36" s="438">
        <v>500</v>
      </c>
      <c r="F36" s="438">
        <v>550</v>
      </c>
      <c r="G36" s="438">
        <v>600</v>
      </c>
    </row>
    <row r="37" spans="1:7" x14ac:dyDescent="0.25">
      <c r="A37" s="454">
        <v>32115</v>
      </c>
      <c r="B37" s="357" t="s">
        <v>419</v>
      </c>
      <c r="C37" s="455">
        <v>309.49</v>
      </c>
      <c r="D37" s="455">
        <f t="shared" ref="D37" si="29">18977.24-D35-D36</f>
        <v>6477.2400000000016</v>
      </c>
      <c r="E37" s="455">
        <v>500</v>
      </c>
      <c r="F37" s="455">
        <v>600</v>
      </c>
      <c r="G37" s="455">
        <v>700</v>
      </c>
    </row>
    <row r="38" spans="1:7" x14ac:dyDescent="0.25">
      <c r="A38" s="452" t="s">
        <v>107</v>
      </c>
      <c r="B38" s="359" t="s">
        <v>108</v>
      </c>
      <c r="C38" s="456">
        <f t="shared" ref="C38:D38" si="30">SUM(C39)</f>
        <v>92041.02</v>
      </c>
      <c r="D38" s="456">
        <f t="shared" si="30"/>
        <v>82288.14</v>
      </c>
      <c r="E38" s="456">
        <f>SUM(E39)</f>
        <v>74716.27</v>
      </c>
      <c r="F38" s="456">
        <f t="shared" ref="F38:G38" si="31">SUM(F39)</f>
        <v>76716.27</v>
      </c>
      <c r="G38" s="456">
        <f t="shared" si="31"/>
        <v>78716.27</v>
      </c>
    </row>
    <row r="39" spans="1:7" s="429" customFormat="1" x14ac:dyDescent="0.25">
      <c r="A39" s="454" t="s">
        <v>505</v>
      </c>
      <c r="B39" s="358" t="s">
        <v>108</v>
      </c>
      <c r="C39" s="455">
        <v>92041.02</v>
      </c>
      <c r="D39" s="455">
        <v>82288.14</v>
      </c>
      <c r="E39" s="455">
        <v>74716.27</v>
      </c>
      <c r="F39" s="455">
        <v>76716.27</v>
      </c>
      <c r="G39" s="455">
        <v>78716.27</v>
      </c>
    </row>
    <row r="40" spans="1:7" s="429" customFormat="1" x14ac:dyDescent="0.25">
      <c r="A40" s="452" t="s">
        <v>109</v>
      </c>
      <c r="B40" s="359" t="s">
        <v>110</v>
      </c>
      <c r="C40" s="456">
        <f t="shared" ref="C40:D40" si="32">SUM(C41:C42)</f>
        <v>4919.5200000000004</v>
      </c>
      <c r="D40" s="456">
        <f t="shared" si="32"/>
        <v>4778.0200000000004</v>
      </c>
      <c r="E40" s="456">
        <f>SUM(E41:E42)</f>
        <v>3678.02</v>
      </c>
      <c r="F40" s="456">
        <f t="shared" ref="F40:G40" si="33">SUM(F41:F42)</f>
        <v>3866.92</v>
      </c>
      <c r="G40" s="456">
        <f t="shared" si="33"/>
        <v>4167.7700000000004</v>
      </c>
    </row>
    <row r="41" spans="1:7" s="429" customFormat="1" x14ac:dyDescent="0.25">
      <c r="A41" s="454">
        <v>32131</v>
      </c>
      <c r="B41" s="358" t="s">
        <v>420</v>
      </c>
      <c r="C41" s="455">
        <v>1080</v>
      </c>
      <c r="D41" s="455">
        <v>2200</v>
      </c>
      <c r="E41" s="455">
        <v>1100</v>
      </c>
      <c r="F41" s="455">
        <v>1200</v>
      </c>
      <c r="G41" s="455">
        <v>1300</v>
      </c>
    </row>
    <row r="42" spans="1:7" x14ac:dyDescent="0.25">
      <c r="A42" s="454">
        <v>32132</v>
      </c>
      <c r="B42" s="358" t="s">
        <v>421</v>
      </c>
      <c r="C42" s="455">
        <v>3839.52</v>
      </c>
      <c r="D42" s="455">
        <v>2578.02</v>
      </c>
      <c r="E42" s="455">
        <v>2578.02</v>
      </c>
      <c r="F42" s="455">
        <v>2666.92</v>
      </c>
      <c r="G42" s="455">
        <v>2867.77</v>
      </c>
    </row>
    <row r="43" spans="1:7" x14ac:dyDescent="0.25">
      <c r="A43" s="452" t="s">
        <v>111</v>
      </c>
      <c r="B43" s="359" t="s">
        <v>112</v>
      </c>
      <c r="C43" s="456">
        <f t="shared" ref="C43:D43" si="34">SUM(C44)</f>
        <v>0</v>
      </c>
      <c r="D43" s="456">
        <f t="shared" si="34"/>
        <v>398.17</v>
      </c>
      <c r="E43" s="456">
        <f>SUM(E44)</f>
        <v>200</v>
      </c>
      <c r="F43" s="456">
        <f t="shared" ref="F43:G43" si="35">SUM(F44)</f>
        <v>200</v>
      </c>
      <c r="G43" s="456">
        <f t="shared" si="35"/>
        <v>200</v>
      </c>
    </row>
    <row r="44" spans="1:7" x14ac:dyDescent="0.25">
      <c r="A44" s="454" t="s">
        <v>506</v>
      </c>
      <c r="B44" s="358" t="s">
        <v>422</v>
      </c>
      <c r="C44" s="455">
        <v>0</v>
      </c>
      <c r="D44" s="455">
        <v>398.17</v>
      </c>
      <c r="E44" s="455">
        <v>200</v>
      </c>
      <c r="F44" s="455">
        <v>200</v>
      </c>
      <c r="G44" s="455">
        <v>200</v>
      </c>
    </row>
    <row r="45" spans="1:7" x14ac:dyDescent="0.25">
      <c r="A45" s="452" t="s">
        <v>113</v>
      </c>
      <c r="B45" s="359" t="s">
        <v>114</v>
      </c>
      <c r="C45" s="415">
        <f t="shared" ref="C45:D45" si="36">C46+C52+C56+C61+C66+C68</f>
        <v>361175.70000000007</v>
      </c>
      <c r="D45" s="415">
        <f t="shared" si="36"/>
        <v>146061.65000000002</v>
      </c>
      <c r="E45" s="415">
        <f>E46+E52+E56+E61+E66+E68</f>
        <v>107550</v>
      </c>
      <c r="F45" s="415">
        <f t="shared" ref="F45:G45" si="37">F46+F52+F56+F61+F66+F68</f>
        <v>112850</v>
      </c>
      <c r="G45" s="415">
        <f t="shared" si="37"/>
        <v>118250</v>
      </c>
    </row>
    <row r="46" spans="1:7" x14ac:dyDescent="0.25">
      <c r="A46" s="452" t="s">
        <v>115</v>
      </c>
      <c r="B46" s="453" t="s">
        <v>116</v>
      </c>
      <c r="C46" s="523">
        <f t="shared" ref="C46:D46" si="38">SUM(C47:C51)</f>
        <v>29125.119999999995</v>
      </c>
      <c r="D46" s="415">
        <f t="shared" si="38"/>
        <v>29862.63</v>
      </c>
      <c r="E46" s="415">
        <f>SUM(E47:E51)</f>
        <v>27800</v>
      </c>
      <c r="F46" s="415">
        <f t="shared" ref="F46:G46" si="39">SUM(F47:F51)</f>
        <v>28950</v>
      </c>
      <c r="G46" s="415">
        <f t="shared" si="39"/>
        <v>30100</v>
      </c>
    </row>
    <row r="47" spans="1:7" x14ac:dyDescent="0.25">
      <c r="A47" s="454">
        <v>32211</v>
      </c>
      <c r="B47" s="357" t="s">
        <v>423</v>
      </c>
      <c r="C47" s="524">
        <v>13687.63</v>
      </c>
      <c r="D47" s="438">
        <v>12000</v>
      </c>
      <c r="E47" s="438">
        <v>12000</v>
      </c>
      <c r="F47" s="438">
        <v>12500</v>
      </c>
      <c r="G47" s="438">
        <v>13000</v>
      </c>
    </row>
    <row r="48" spans="1:7" x14ac:dyDescent="0.25">
      <c r="A48" s="454">
        <v>32212</v>
      </c>
      <c r="B48" s="358" t="s">
        <v>424</v>
      </c>
      <c r="C48" s="524">
        <v>0</v>
      </c>
      <c r="D48" s="438">
        <v>500</v>
      </c>
      <c r="E48" s="438">
        <v>300</v>
      </c>
      <c r="F48" s="438">
        <v>350</v>
      </c>
      <c r="G48" s="438">
        <v>400</v>
      </c>
    </row>
    <row r="49" spans="1:7" x14ac:dyDescent="0.25">
      <c r="A49" s="454">
        <v>32214</v>
      </c>
      <c r="B49" s="358" t="s">
        <v>425</v>
      </c>
      <c r="C49" s="524">
        <v>13369.64</v>
      </c>
      <c r="D49" s="438">
        <v>15000</v>
      </c>
      <c r="E49" s="438">
        <v>13500</v>
      </c>
      <c r="F49" s="438">
        <v>14000</v>
      </c>
      <c r="G49" s="438">
        <v>14500</v>
      </c>
    </row>
    <row r="50" spans="1:7" x14ac:dyDescent="0.25">
      <c r="A50" s="454">
        <v>32215</v>
      </c>
      <c r="B50" s="358" t="s">
        <v>426</v>
      </c>
      <c r="C50" s="524">
        <v>0</v>
      </c>
      <c r="D50" s="438">
        <v>700</v>
      </c>
      <c r="E50" s="438">
        <v>500</v>
      </c>
      <c r="F50" s="438">
        <v>550</v>
      </c>
      <c r="G50" s="438">
        <v>600</v>
      </c>
    </row>
    <row r="51" spans="1:7" s="429" customFormat="1" x14ac:dyDescent="0.25">
      <c r="A51" s="454">
        <v>32219</v>
      </c>
      <c r="B51" s="357" t="s">
        <v>427</v>
      </c>
      <c r="C51" s="455">
        <v>2067.85</v>
      </c>
      <c r="D51" s="455">
        <f t="shared" ref="D51" si="40">29862.63-D47-D48-D49-D50</f>
        <v>1662.630000000001</v>
      </c>
      <c r="E51" s="455">
        <v>1500</v>
      </c>
      <c r="F51" s="455">
        <v>1550</v>
      </c>
      <c r="G51" s="455">
        <v>1600</v>
      </c>
    </row>
    <row r="52" spans="1:7" s="429" customFormat="1" x14ac:dyDescent="0.25">
      <c r="A52" s="452" t="s">
        <v>117</v>
      </c>
      <c r="B52" s="453" t="s">
        <v>118</v>
      </c>
      <c r="C52" s="456">
        <f t="shared" ref="C52:D52" si="41">SUM(C53:C55)</f>
        <v>214691.74000000002</v>
      </c>
      <c r="D52" s="456">
        <f t="shared" si="41"/>
        <v>0</v>
      </c>
      <c r="E52" s="456">
        <f>SUM(E53:E55)</f>
        <v>0</v>
      </c>
      <c r="F52" s="456">
        <f t="shared" ref="F52:G52" si="42">SUM(F53:F55)</f>
        <v>0</v>
      </c>
      <c r="G52" s="456">
        <f t="shared" si="42"/>
        <v>0</v>
      </c>
    </row>
    <row r="53" spans="1:7" s="429" customFormat="1" x14ac:dyDescent="0.25">
      <c r="A53" s="454" t="s">
        <v>507</v>
      </c>
      <c r="B53" s="357" t="s">
        <v>428</v>
      </c>
      <c r="C53" s="455">
        <v>199443.64</v>
      </c>
      <c r="D53" s="455">
        <v>0</v>
      </c>
      <c r="E53" s="455">
        <v>0</v>
      </c>
      <c r="F53" s="455">
        <v>0</v>
      </c>
      <c r="G53" s="455">
        <v>0</v>
      </c>
    </row>
    <row r="54" spans="1:7" s="429" customFormat="1" x14ac:dyDescent="0.25">
      <c r="A54" s="454" t="s">
        <v>508</v>
      </c>
      <c r="B54" s="357" t="s">
        <v>429</v>
      </c>
      <c r="C54" s="455">
        <v>15034.88</v>
      </c>
      <c r="D54" s="455">
        <v>0</v>
      </c>
      <c r="E54" s="455">
        <v>0</v>
      </c>
      <c r="F54" s="455">
        <v>0</v>
      </c>
      <c r="G54" s="455">
        <v>0</v>
      </c>
    </row>
    <row r="55" spans="1:7" x14ac:dyDescent="0.25">
      <c r="A55" s="454" t="s">
        <v>509</v>
      </c>
      <c r="B55" s="357" t="s">
        <v>430</v>
      </c>
      <c r="C55" s="455">
        <v>213.22</v>
      </c>
      <c r="D55" s="455">
        <v>0</v>
      </c>
      <c r="E55" s="455">
        <v>0</v>
      </c>
      <c r="F55" s="455">
        <v>0</v>
      </c>
      <c r="G55" s="455">
        <v>0</v>
      </c>
    </row>
    <row r="56" spans="1:7" x14ac:dyDescent="0.25">
      <c r="A56" s="452" t="s">
        <v>119</v>
      </c>
      <c r="B56" s="453" t="s">
        <v>120</v>
      </c>
      <c r="C56" s="456">
        <f t="shared" ref="C56:D56" si="43">SUM(C57:C60)</f>
        <v>107818.18</v>
      </c>
      <c r="D56" s="456">
        <f t="shared" si="43"/>
        <v>87000</v>
      </c>
      <c r="E56" s="456">
        <f>SUM(E57:E60)</f>
        <v>66200</v>
      </c>
      <c r="F56" s="456">
        <f t="shared" ref="F56:G56" si="44">SUM(F57:F60)</f>
        <v>69300</v>
      </c>
      <c r="G56" s="456">
        <f t="shared" si="44"/>
        <v>72400</v>
      </c>
    </row>
    <row r="57" spans="1:7" x14ac:dyDescent="0.25">
      <c r="A57" s="454" t="s">
        <v>510</v>
      </c>
      <c r="B57" s="357" t="s">
        <v>432</v>
      </c>
      <c r="C57" s="455">
        <v>26651.439999999999</v>
      </c>
      <c r="D57" s="455">
        <v>29000</v>
      </c>
      <c r="E57" s="455">
        <v>27000</v>
      </c>
      <c r="F57" s="455">
        <v>27500</v>
      </c>
      <c r="G57" s="455">
        <v>28000</v>
      </c>
    </row>
    <row r="58" spans="1:7" x14ac:dyDescent="0.25">
      <c r="A58" s="454" t="s">
        <v>511</v>
      </c>
      <c r="B58" s="357" t="s">
        <v>433</v>
      </c>
      <c r="C58" s="455">
        <v>2531.2399999999998</v>
      </c>
      <c r="D58" s="455">
        <v>2000</v>
      </c>
      <c r="E58" s="455">
        <v>2200</v>
      </c>
      <c r="F58" s="455">
        <v>2300</v>
      </c>
      <c r="G58" s="455">
        <v>2400</v>
      </c>
    </row>
    <row r="59" spans="1:7" x14ac:dyDescent="0.25">
      <c r="A59" s="454" t="s">
        <v>512</v>
      </c>
      <c r="B59" s="357" t="s">
        <v>434</v>
      </c>
      <c r="C59" s="455">
        <v>21396.27</v>
      </c>
      <c r="D59" s="455">
        <v>36000</v>
      </c>
      <c r="E59" s="455">
        <v>20000</v>
      </c>
      <c r="F59" s="455">
        <v>22000</v>
      </c>
      <c r="G59" s="455">
        <v>24000</v>
      </c>
    </row>
    <row r="60" spans="1:7" x14ac:dyDescent="0.25">
      <c r="A60" s="454" t="s">
        <v>513</v>
      </c>
      <c r="B60" s="357" t="s">
        <v>431</v>
      </c>
      <c r="C60" s="455">
        <v>57239.23</v>
      </c>
      <c r="D60" s="455">
        <v>20000</v>
      </c>
      <c r="E60" s="455">
        <v>17000</v>
      </c>
      <c r="F60" s="455">
        <v>17500</v>
      </c>
      <c r="G60" s="455">
        <v>18000</v>
      </c>
    </row>
    <row r="61" spans="1:7" x14ac:dyDescent="0.25">
      <c r="A61" s="452" t="s">
        <v>121</v>
      </c>
      <c r="B61" s="359" t="s">
        <v>122</v>
      </c>
      <c r="C61" s="456">
        <f t="shared" ref="C61:D61" si="45">SUM(C62:C65)</f>
        <v>1636.8400000000001</v>
      </c>
      <c r="D61" s="456">
        <f t="shared" si="45"/>
        <v>13272.28</v>
      </c>
      <c r="E61" s="456">
        <f>SUM(E62:E65)</f>
        <v>6050</v>
      </c>
      <c r="F61" s="456">
        <f t="shared" ref="F61:G61" si="46">SUM(F62:F65)</f>
        <v>6600</v>
      </c>
      <c r="G61" s="456">
        <f t="shared" si="46"/>
        <v>7250</v>
      </c>
    </row>
    <row r="62" spans="1:7" x14ac:dyDescent="0.25">
      <c r="A62" s="454">
        <v>32241</v>
      </c>
      <c r="B62" s="357" t="s">
        <v>435</v>
      </c>
      <c r="C62" s="455">
        <v>1030.3800000000001</v>
      </c>
      <c r="D62" s="455">
        <v>7200</v>
      </c>
      <c r="E62" s="455">
        <v>2500</v>
      </c>
      <c r="F62" s="455">
        <v>2750</v>
      </c>
      <c r="G62" s="455">
        <v>3000</v>
      </c>
    </row>
    <row r="63" spans="1:7" x14ac:dyDescent="0.25">
      <c r="A63" s="454">
        <v>32242</v>
      </c>
      <c r="B63" s="357" t="s">
        <v>437</v>
      </c>
      <c r="C63" s="455">
        <v>191.25</v>
      </c>
      <c r="D63" s="455">
        <v>3000</v>
      </c>
      <c r="E63" s="455">
        <v>2750</v>
      </c>
      <c r="F63" s="455">
        <v>2850</v>
      </c>
      <c r="G63" s="455">
        <v>3050</v>
      </c>
    </row>
    <row r="64" spans="1:7" x14ac:dyDescent="0.25">
      <c r="A64" s="454">
        <v>32243</v>
      </c>
      <c r="B64" s="357" t="s">
        <v>436</v>
      </c>
      <c r="C64" s="455">
        <v>415.21</v>
      </c>
      <c r="D64" s="455">
        <v>2500</v>
      </c>
      <c r="E64" s="455">
        <v>500</v>
      </c>
      <c r="F64" s="455">
        <v>600</v>
      </c>
      <c r="G64" s="455">
        <v>700</v>
      </c>
    </row>
    <row r="65" spans="1:7" x14ac:dyDescent="0.25">
      <c r="A65" s="454">
        <v>32244</v>
      </c>
      <c r="B65" s="358" t="s">
        <v>438</v>
      </c>
      <c r="C65" s="455">
        <v>0</v>
      </c>
      <c r="D65" s="455">
        <v>572.28</v>
      </c>
      <c r="E65" s="455">
        <v>300</v>
      </c>
      <c r="F65" s="455">
        <v>400</v>
      </c>
      <c r="G65" s="455">
        <v>500</v>
      </c>
    </row>
    <row r="66" spans="1:7" x14ac:dyDescent="0.25">
      <c r="A66" s="452" t="s">
        <v>123</v>
      </c>
      <c r="B66" s="359" t="s">
        <v>124</v>
      </c>
      <c r="C66" s="456">
        <f t="shared" ref="C66:D66" si="47">SUM(C67)</f>
        <v>4563.8999999999996</v>
      </c>
      <c r="D66" s="456">
        <f t="shared" si="47"/>
        <v>6636.14</v>
      </c>
      <c r="E66" s="456">
        <f>SUM(E67)</f>
        <v>5000</v>
      </c>
      <c r="F66" s="456">
        <f t="shared" ref="F66:G66" si="48">SUM(F67)</f>
        <v>5250</v>
      </c>
      <c r="G66" s="456">
        <f t="shared" si="48"/>
        <v>5500</v>
      </c>
    </row>
    <row r="67" spans="1:7" x14ac:dyDescent="0.25">
      <c r="A67" s="454" t="s">
        <v>514</v>
      </c>
      <c r="B67" s="358" t="s">
        <v>124</v>
      </c>
      <c r="C67" s="455">
        <v>4563.8999999999996</v>
      </c>
      <c r="D67" s="455">
        <v>6636.14</v>
      </c>
      <c r="E67" s="455">
        <v>5000</v>
      </c>
      <c r="F67" s="455">
        <v>5250</v>
      </c>
      <c r="G67" s="455">
        <v>5500</v>
      </c>
    </row>
    <row r="68" spans="1:7" x14ac:dyDescent="0.25">
      <c r="A68" s="452" t="s">
        <v>125</v>
      </c>
      <c r="B68" s="359" t="s">
        <v>126</v>
      </c>
      <c r="C68" s="456">
        <f t="shared" ref="C68:D68" si="49">SUM(C69)</f>
        <v>3339.92</v>
      </c>
      <c r="D68" s="456">
        <f t="shared" si="49"/>
        <v>9290.6</v>
      </c>
      <c r="E68" s="456">
        <f>SUM(E69)</f>
        <v>2500</v>
      </c>
      <c r="F68" s="456">
        <f t="shared" ref="F68:G68" si="50">SUM(F69)</f>
        <v>2750</v>
      </c>
      <c r="G68" s="456">
        <f t="shared" si="50"/>
        <v>3000</v>
      </c>
    </row>
    <row r="69" spans="1:7" x14ac:dyDescent="0.25">
      <c r="A69" s="454" t="s">
        <v>515</v>
      </c>
      <c r="B69" s="358" t="s">
        <v>126</v>
      </c>
      <c r="C69" s="455">
        <v>3339.92</v>
      </c>
      <c r="D69" s="455">
        <v>9290.6</v>
      </c>
      <c r="E69" s="455">
        <v>2500</v>
      </c>
      <c r="F69" s="455">
        <v>2750</v>
      </c>
      <c r="G69" s="455">
        <v>3000</v>
      </c>
    </row>
    <row r="70" spans="1:7" s="416" customFormat="1" x14ac:dyDescent="0.25">
      <c r="A70" s="452" t="s">
        <v>127</v>
      </c>
      <c r="B70" s="359" t="s">
        <v>128</v>
      </c>
      <c r="C70" s="415">
        <f t="shared" ref="C70:D70" si="51">C71+C75+C79+C81+C86+C88+C90+C95+C97</f>
        <v>186036.66000000003</v>
      </c>
      <c r="D70" s="415">
        <f t="shared" si="51"/>
        <v>220863.46000000002</v>
      </c>
      <c r="E70" s="415">
        <f>E71+E75+E79+E81+E86+E88+E90+E95+E97</f>
        <v>202846.33000000002</v>
      </c>
      <c r="F70" s="415">
        <f t="shared" ref="F70:G70" si="52">F71+F75+F79+F81+F86+F88+F90+F95+F97</f>
        <v>211696.33000000002</v>
      </c>
      <c r="G70" s="415">
        <f t="shared" si="52"/>
        <v>220546.33000000002</v>
      </c>
    </row>
    <row r="71" spans="1:7" s="416" customFormat="1" x14ac:dyDescent="0.25">
      <c r="A71" s="452" t="s">
        <v>129</v>
      </c>
      <c r="B71" s="359" t="s">
        <v>130</v>
      </c>
      <c r="C71" s="415">
        <f>SUM(C72:C74)</f>
        <v>20247.75</v>
      </c>
      <c r="D71" s="415">
        <f t="shared" ref="D71:G71" si="53">SUM(D72:D74)</f>
        <v>23235.65</v>
      </c>
      <c r="E71" s="415">
        <f t="shared" si="53"/>
        <v>18950</v>
      </c>
      <c r="F71" s="415">
        <f t="shared" si="53"/>
        <v>19550</v>
      </c>
      <c r="G71" s="415">
        <f t="shared" si="53"/>
        <v>20150</v>
      </c>
    </row>
    <row r="72" spans="1:7" s="416" customFormat="1" x14ac:dyDescent="0.25">
      <c r="A72" s="454" t="s">
        <v>516</v>
      </c>
      <c r="B72" s="358" t="s">
        <v>439</v>
      </c>
      <c r="C72" s="438">
        <v>19646.55</v>
      </c>
      <c r="D72" s="438">
        <v>19500</v>
      </c>
      <c r="E72" s="438">
        <v>18000</v>
      </c>
      <c r="F72" s="438">
        <v>18500</v>
      </c>
      <c r="G72" s="438">
        <v>19000</v>
      </c>
    </row>
    <row r="73" spans="1:7" x14ac:dyDescent="0.25">
      <c r="A73" s="454" t="s">
        <v>517</v>
      </c>
      <c r="B73" s="358" t="s">
        <v>440</v>
      </c>
      <c r="C73" s="455">
        <v>594.20000000000005</v>
      </c>
      <c r="D73" s="455">
        <v>1735.65</v>
      </c>
      <c r="E73" s="455">
        <v>600</v>
      </c>
      <c r="F73" s="455">
        <v>650</v>
      </c>
      <c r="G73" s="455">
        <v>700</v>
      </c>
    </row>
    <row r="74" spans="1:7" x14ac:dyDescent="0.25">
      <c r="A74" s="454" t="s">
        <v>576</v>
      </c>
      <c r="B74" s="358" t="s">
        <v>577</v>
      </c>
      <c r="C74" s="455">
        <v>7</v>
      </c>
      <c r="D74" s="455">
        <v>2000</v>
      </c>
      <c r="E74" s="455">
        <v>350</v>
      </c>
      <c r="F74" s="455">
        <v>400</v>
      </c>
      <c r="G74" s="455">
        <v>450</v>
      </c>
    </row>
    <row r="75" spans="1:7" x14ac:dyDescent="0.25">
      <c r="A75" s="452" t="s">
        <v>131</v>
      </c>
      <c r="B75" s="359" t="s">
        <v>132</v>
      </c>
      <c r="C75" s="456">
        <f t="shared" ref="C75:D75" si="54">SUM(C76:C78)</f>
        <v>15181.16</v>
      </c>
      <c r="D75" s="456">
        <f t="shared" si="54"/>
        <v>21053.72</v>
      </c>
      <c r="E75" s="456">
        <f>SUM(E76:E78)</f>
        <v>13500</v>
      </c>
      <c r="F75" s="456">
        <f t="shared" ref="F75:G75" si="55">SUM(F76:F78)</f>
        <v>15750</v>
      </c>
      <c r="G75" s="456">
        <f t="shared" si="55"/>
        <v>18000</v>
      </c>
    </row>
    <row r="76" spans="1:7" x14ac:dyDescent="0.25">
      <c r="A76" s="454">
        <v>32321</v>
      </c>
      <c r="B76" s="358" t="s">
        <v>442</v>
      </c>
      <c r="C76" s="455">
        <v>5082.59</v>
      </c>
      <c r="D76" s="455">
        <v>10500</v>
      </c>
      <c r="E76" s="455">
        <v>5000</v>
      </c>
      <c r="F76" s="455">
        <v>6000</v>
      </c>
      <c r="G76" s="455">
        <v>7000</v>
      </c>
    </row>
    <row r="77" spans="1:7" x14ac:dyDescent="0.25">
      <c r="A77" s="454">
        <v>32322</v>
      </c>
      <c r="B77" s="358" t="s">
        <v>443</v>
      </c>
      <c r="C77" s="455">
        <v>9438.4</v>
      </c>
      <c r="D77" s="455">
        <v>6500</v>
      </c>
      <c r="E77" s="455">
        <v>5000</v>
      </c>
      <c r="F77" s="455">
        <v>6000</v>
      </c>
      <c r="G77" s="455">
        <v>7000</v>
      </c>
    </row>
    <row r="78" spans="1:7" s="429" customFormat="1" x14ac:dyDescent="0.25">
      <c r="A78" s="454">
        <v>32323</v>
      </c>
      <c r="B78" s="358" t="s">
        <v>441</v>
      </c>
      <c r="C78" s="455">
        <v>660.17</v>
      </c>
      <c r="D78" s="455">
        <f t="shared" ref="D78" si="56">21053.72-D76-D77</f>
        <v>4053.7200000000012</v>
      </c>
      <c r="E78" s="455">
        <v>3500</v>
      </c>
      <c r="F78" s="455">
        <v>3750</v>
      </c>
      <c r="G78" s="455">
        <v>4000</v>
      </c>
    </row>
    <row r="79" spans="1:7" s="429" customFormat="1" x14ac:dyDescent="0.25">
      <c r="A79" s="452" t="s">
        <v>133</v>
      </c>
      <c r="B79" s="359" t="s">
        <v>134</v>
      </c>
      <c r="C79" s="456">
        <f t="shared" ref="C79:D79" si="57">SUM(C80)</f>
        <v>0</v>
      </c>
      <c r="D79" s="456">
        <f t="shared" si="57"/>
        <v>663.61</v>
      </c>
      <c r="E79" s="456">
        <f>SUM(E80)</f>
        <v>663.61</v>
      </c>
      <c r="F79" s="456">
        <f t="shared" ref="F79:G79" si="58">SUM(F80)</f>
        <v>663.61</v>
      </c>
      <c r="G79" s="456">
        <f t="shared" si="58"/>
        <v>663.61</v>
      </c>
    </row>
    <row r="80" spans="1:7" x14ac:dyDescent="0.25">
      <c r="A80" s="454" t="s">
        <v>518</v>
      </c>
      <c r="B80" s="358" t="s">
        <v>134</v>
      </c>
      <c r="C80" s="455">
        <v>0</v>
      </c>
      <c r="D80" s="455">
        <v>663.61</v>
      </c>
      <c r="E80" s="455">
        <v>663.61</v>
      </c>
      <c r="F80" s="455">
        <v>663.61</v>
      </c>
      <c r="G80" s="455">
        <v>663.61</v>
      </c>
    </row>
    <row r="81" spans="1:7" x14ac:dyDescent="0.25">
      <c r="A81" s="459" t="s">
        <v>135</v>
      </c>
      <c r="B81" s="460" t="s">
        <v>136</v>
      </c>
      <c r="C81" s="456">
        <f t="shared" ref="C81:D81" si="59">SUM(C82:C85)</f>
        <v>23343.89</v>
      </c>
      <c r="D81" s="456">
        <f t="shared" si="59"/>
        <v>19908.419999999998</v>
      </c>
      <c r="E81" s="456">
        <f>SUM(E82:E85)</f>
        <v>26500</v>
      </c>
      <c r="F81" s="456">
        <f t="shared" ref="F81:G81" si="60">SUM(F82:F85)</f>
        <v>27300</v>
      </c>
      <c r="G81" s="456">
        <f t="shared" si="60"/>
        <v>28100</v>
      </c>
    </row>
    <row r="82" spans="1:7" x14ac:dyDescent="0.25">
      <c r="A82" s="454">
        <v>32341</v>
      </c>
      <c r="B82" s="358" t="s">
        <v>445</v>
      </c>
      <c r="C82" s="455">
        <v>5937.95</v>
      </c>
      <c r="D82" s="455">
        <v>7500</v>
      </c>
      <c r="E82" s="455">
        <v>6000</v>
      </c>
      <c r="F82" s="455">
        <v>6200</v>
      </c>
      <c r="G82" s="455">
        <v>6400</v>
      </c>
    </row>
    <row r="83" spans="1:7" x14ac:dyDescent="0.25">
      <c r="A83" s="454">
        <v>32342</v>
      </c>
      <c r="B83" s="358" t="s">
        <v>446</v>
      </c>
      <c r="C83" s="455">
        <v>15622.79</v>
      </c>
      <c r="D83" s="455">
        <v>10500</v>
      </c>
      <c r="E83" s="455">
        <v>18000</v>
      </c>
      <c r="F83" s="455">
        <v>18500</v>
      </c>
      <c r="G83" s="455">
        <v>19000</v>
      </c>
    </row>
    <row r="84" spans="1:7" x14ac:dyDescent="0.25">
      <c r="A84" s="454">
        <v>32343</v>
      </c>
      <c r="B84" s="358" t="s">
        <v>447</v>
      </c>
      <c r="C84" s="455">
        <v>1127.96</v>
      </c>
      <c r="D84" s="455">
        <v>1500</v>
      </c>
      <c r="E84" s="455">
        <v>1800</v>
      </c>
      <c r="F84" s="455">
        <v>1850</v>
      </c>
      <c r="G84" s="455">
        <v>1900</v>
      </c>
    </row>
    <row r="85" spans="1:7" x14ac:dyDescent="0.25">
      <c r="A85" s="361">
        <v>32349</v>
      </c>
      <c r="B85" s="360" t="s">
        <v>448</v>
      </c>
      <c r="C85" s="455">
        <v>655.19000000000005</v>
      </c>
      <c r="D85" s="455">
        <f t="shared" ref="D85" si="61">19908.42-D82-D83-D84</f>
        <v>408.41999999999825</v>
      </c>
      <c r="E85" s="455">
        <v>700</v>
      </c>
      <c r="F85" s="455">
        <v>750</v>
      </c>
      <c r="G85" s="455">
        <v>800</v>
      </c>
    </row>
    <row r="86" spans="1:7" x14ac:dyDescent="0.25">
      <c r="A86" s="459">
        <v>3235</v>
      </c>
      <c r="B86" s="460" t="s">
        <v>137</v>
      </c>
      <c r="C86" s="456">
        <f t="shared" ref="C86:D86" si="62">SUM(C87)</f>
        <v>0</v>
      </c>
      <c r="D86" s="456">
        <f t="shared" si="62"/>
        <v>132.72</v>
      </c>
      <c r="E86" s="456">
        <f>SUM(E87)</f>
        <v>132.72</v>
      </c>
      <c r="F86" s="456">
        <f t="shared" ref="F86:G86" si="63">SUM(F87)</f>
        <v>132.72</v>
      </c>
      <c r="G86" s="456">
        <f t="shared" si="63"/>
        <v>132.72</v>
      </c>
    </row>
    <row r="87" spans="1:7" s="429" customFormat="1" x14ac:dyDescent="0.25">
      <c r="A87" s="361">
        <v>32359</v>
      </c>
      <c r="B87" s="360" t="s">
        <v>137</v>
      </c>
      <c r="C87" s="455">
        <v>0</v>
      </c>
      <c r="D87" s="455">
        <v>132.72</v>
      </c>
      <c r="E87" s="455">
        <v>132.72</v>
      </c>
      <c r="F87" s="455">
        <v>132.72</v>
      </c>
      <c r="G87" s="455">
        <v>132.72</v>
      </c>
    </row>
    <row r="88" spans="1:7" s="429" customFormat="1" x14ac:dyDescent="0.25">
      <c r="A88" s="459">
        <v>3236</v>
      </c>
      <c r="B88" s="460" t="s">
        <v>138</v>
      </c>
      <c r="C88" s="456">
        <f t="shared" ref="C88:D88" si="64">SUM(C89)</f>
        <v>29827.13</v>
      </c>
      <c r="D88" s="456">
        <f t="shared" si="64"/>
        <v>2562.88</v>
      </c>
      <c r="E88" s="456">
        <f>SUM(E89)</f>
        <v>32000</v>
      </c>
      <c r="F88" s="456">
        <f t="shared" ref="F88:G88" si="65">SUM(F89)</f>
        <v>33000</v>
      </c>
      <c r="G88" s="456">
        <f t="shared" si="65"/>
        <v>34000</v>
      </c>
    </row>
    <row r="89" spans="1:7" x14ac:dyDescent="0.25">
      <c r="A89" s="361">
        <v>32369</v>
      </c>
      <c r="B89" s="360" t="s">
        <v>138</v>
      </c>
      <c r="C89" s="455">
        <v>29827.13</v>
      </c>
      <c r="D89" s="455">
        <v>2562.88</v>
      </c>
      <c r="E89" s="455">
        <v>32000</v>
      </c>
      <c r="F89" s="455">
        <v>33000</v>
      </c>
      <c r="G89" s="455">
        <v>34000</v>
      </c>
    </row>
    <row r="90" spans="1:7" x14ac:dyDescent="0.25">
      <c r="A90" s="459">
        <v>3237</v>
      </c>
      <c r="B90" s="460" t="s">
        <v>139</v>
      </c>
      <c r="C90" s="456">
        <f>SUM(C91:C94)</f>
        <v>86411.15</v>
      </c>
      <c r="D90" s="456">
        <f t="shared" ref="D90" si="66">SUM(D91:D94)</f>
        <v>110480.46</v>
      </c>
      <c r="E90" s="456">
        <f>SUM(E91:E94)</f>
        <v>90500</v>
      </c>
      <c r="F90" s="456">
        <f t="shared" ref="F90:G90" si="67">SUM(F91:F94)</f>
        <v>93350</v>
      </c>
      <c r="G90" s="456">
        <f t="shared" si="67"/>
        <v>96200</v>
      </c>
    </row>
    <row r="91" spans="1:7" x14ac:dyDescent="0.25">
      <c r="A91" s="361">
        <v>32372</v>
      </c>
      <c r="B91" s="360" t="s">
        <v>451</v>
      </c>
      <c r="C91" s="455">
        <v>62424.14</v>
      </c>
      <c r="D91" s="455">
        <v>94500</v>
      </c>
      <c r="E91" s="455">
        <v>70000</v>
      </c>
      <c r="F91" s="455">
        <v>71000</v>
      </c>
      <c r="G91" s="455">
        <v>72000</v>
      </c>
    </row>
    <row r="92" spans="1:7" x14ac:dyDescent="0.25">
      <c r="A92" s="361">
        <v>32373</v>
      </c>
      <c r="B92" s="360" t="s">
        <v>452</v>
      </c>
      <c r="C92" s="455">
        <v>18195.37</v>
      </c>
      <c r="D92" s="455">
        <v>12000</v>
      </c>
      <c r="E92" s="455">
        <v>15000</v>
      </c>
      <c r="F92" s="455">
        <v>16500</v>
      </c>
      <c r="G92" s="455">
        <v>18000</v>
      </c>
    </row>
    <row r="93" spans="1:7" x14ac:dyDescent="0.25">
      <c r="A93" s="361">
        <v>32375</v>
      </c>
      <c r="B93" s="360" t="s">
        <v>578</v>
      </c>
      <c r="C93" s="455">
        <v>1312.5</v>
      </c>
      <c r="D93" s="455"/>
      <c r="E93" s="455">
        <v>1000</v>
      </c>
      <c r="F93" s="455">
        <v>1100</v>
      </c>
      <c r="G93" s="455">
        <v>1200</v>
      </c>
    </row>
    <row r="94" spans="1:7" x14ac:dyDescent="0.25">
      <c r="A94" s="361">
        <v>32379</v>
      </c>
      <c r="B94" s="360" t="s">
        <v>519</v>
      </c>
      <c r="C94" s="455">
        <v>4479.1400000000003</v>
      </c>
      <c r="D94" s="455">
        <f>110480.46-D91-D92</f>
        <v>3980.4600000000064</v>
      </c>
      <c r="E94" s="455">
        <v>4500</v>
      </c>
      <c r="F94" s="455">
        <v>4750</v>
      </c>
      <c r="G94" s="455">
        <v>5000</v>
      </c>
    </row>
    <row r="95" spans="1:7" s="416" customFormat="1" x14ac:dyDescent="0.25">
      <c r="A95" s="459" t="s">
        <v>140</v>
      </c>
      <c r="B95" s="460" t="s">
        <v>141</v>
      </c>
      <c r="C95" s="456">
        <f t="shared" ref="C95:D95" si="68">SUM(C96)</f>
        <v>1750.47</v>
      </c>
      <c r="D95" s="456">
        <f t="shared" si="68"/>
        <v>18581.189999999999</v>
      </c>
      <c r="E95" s="456">
        <f>SUM(E96)</f>
        <v>3500</v>
      </c>
      <c r="F95" s="456">
        <f t="shared" ref="F95:G95" si="69">SUM(F96)</f>
        <v>4000</v>
      </c>
      <c r="G95" s="456">
        <f t="shared" si="69"/>
        <v>4500</v>
      </c>
    </row>
    <row r="96" spans="1:7" x14ac:dyDescent="0.25">
      <c r="A96" s="361">
        <v>32389</v>
      </c>
      <c r="B96" s="360" t="s">
        <v>453</v>
      </c>
      <c r="C96" s="455">
        <v>1750.47</v>
      </c>
      <c r="D96" s="455">
        <v>18581.189999999999</v>
      </c>
      <c r="E96" s="455">
        <v>3500</v>
      </c>
      <c r="F96" s="455">
        <v>4000</v>
      </c>
      <c r="G96" s="455">
        <v>4500</v>
      </c>
    </row>
    <row r="97" spans="1:7" x14ac:dyDescent="0.25">
      <c r="A97" s="459" t="s">
        <v>142</v>
      </c>
      <c r="B97" s="460" t="s">
        <v>143</v>
      </c>
      <c r="C97" s="456">
        <f t="shared" ref="C97:D97" si="70">SUM(C98:C100)</f>
        <v>9275.11</v>
      </c>
      <c r="D97" s="456">
        <f t="shared" si="70"/>
        <v>24244.81</v>
      </c>
      <c r="E97" s="456">
        <f>SUM(E98:E100)</f>
        <v>17100</v>
      </c>
      <c r="F97" s="456">
        <f t="shared" ref="F97:G97" si="71">SUM(F98:F100)</f>
        <v>17950</v>
      </c>
      <c r="G97" s="456">
        <f t="shared" si="71"/>
        <v>18800</v>
      </c>
    </row>
    <row r="98" spans="1:7" x14ac:dyDescent="0.25">
      <c r="A98" s="361">
        <v>32394</v>
      </c>
      <c r="B98" s="360" t="s">
        <v>454</v>
      </c>
      <c r="C98" s="455">
        <v>2726.44</v>
      </c>
      <c r="D98" s="455">
        <v>4000</v>
      </c>
      <c r="E98" s="455">
        <v>3800</v>
      </c>
      <c r="F98" s="455">
        <v>4100</v>
      </c>
      <c r="G98" s="455">
        <v>4400</v>
      </c>
    </row>
    <row r="99" spans="1:7" x14ac:dyDescent="0.25">
      <c r="A99" s="361">
        <v>32395</v>
      </c>
      <c r="B99" s="360" t="s">
        <v>455</v>
      </c>
      <c r="C99" s="455">
        <v>5622</v>
      </c>
      <c r="D99" s="455">
        <v>6500</v>
      </c>
      <c r="E99" s="455">
        <v>300</v>
      </c>
      <c r="F99" s="455">
        <v>350</v>
      </c>
      <c r="G99" s="455">
        <v>400</v>
      </c>
    </row>
    <row r="100" spans="1:7" x14ac:dyDescent="0.25">
      <c r="A100" s="361">
        <v>32399</v>
      </c>
      <c r="B100" s="360" t="s">
        <v>317</v>
      </c>
      <c r="C100" s="455">
        <v>926.67</v>
      </c>
      <c r="D100" s="455">
        <f t="shared" ref="D100" si="72">24244.81-D98-D99</f>
        <v>13744.810000000001</v>
      </c>
      <c r="E100" s="455">
        <v>13000</v>
      </c>
      <c r="F100" s="455">
        <v>13500</v>
      </c>
      <c r="G100" s="455">
        <v>14000</v>
      </c>
    </row>
    <row r="101" spans="1:7" x14ac:dyDescent="0.25">
      <c r="A101" s="457">
        <v>324</v>
      </c>
      <c r="B101" s="461" t="s">
        <v>144</v>
      </c>
      <c r="C101" s="415">
        <f t="shared" ref="C101:D102" si="73">SUM(C102)</f>
        <v>0</v>
      </c>
      <c r="D101" s="415">
        <f t="shared" si="73"/>
        <v>398.17</v>
      </c>
      <c r="E101" s="415">
        <f>SUM(E102)</f>
        <v>400</v>
      </c>
      <c r="F101" s="415">
        <f t="shared" ref="F101:G102" si="74">SUM(F102)</f>
        <v>400</v>
      </c>
      <c r="G101" s="415">
        <f t="shared" si="74"/>
        <v>400</v>
      </c>
    </row>
    <row r="102" spans="1:7" x14ac:dyDescent="0.25">
      <c r="A102" s="457">
        <v>3241</v>
      </c>
      <c r="B102" s="461" t="s">
        <v>144</v>
      </c>
      <c r="C102" s="415">
        <f t="shared" si="73"/>
        <v>0</v>
      </c>
      <c r="D102" s="415">
        <f t="shared" si="73"/>
        <v>398.17</v>
      </c>
      <c r="E102" s="415">
        <f>SUM(E103)</f>
        <v>400</v>
      </c>
      <c r="F102" s="415">
        <f t="shared" si="74"/>
        <v>400</v>
      </c>
      <c r="G102" s="415">
        <f t="shared" si="74"/>
        <v>400</v>
      </c>
    </row>
    <row r="103" spans="1:7" x14ac:dyDescent="0.25">
      <c r="A103" s="458" t="s">
        <v>520</v>
      </c>
      <c r="B103" s="462" t="s">
        <v>465</v>
      </c>
      <c r="C103" s="455">
        <v>0</v>
      </c>
      <c r="D103" s="455">
        <v>398.17</v>
      </c>
      <c r="E103" s="455">
        <v>400</v>
      </c>
      <c r="F103" s="455">
        <v>400</v>
      </c>
      <c r="G103" s="455">
        <v>400</v>
      </c>
    </row>
    <row r="104" spans="1:7" s="416" customFormat="1" x14ac:dyDescent="0.25">
      <c r="A104" s="457" t="s">
        <v>594</v>
      </c>
      <c r="B104" s="461" t="s">
        <v>128</v>
      </c>
      <c r="C104" s="456">
        <f>C105</f>
        <v>0</v>
      </c>
      <c r="D104" s="456">
        <f t="shared" ref="D104:G104" si="75">D105</f>
        <v>40000</v>
      </c>
      <c r="E104" s="456">
        <f t="shared" si="75"/>
        <v>270000</v>
      </c>
      <c r="F104" s="456">
        <f t="shared" si="75"/>
        <v>298000</v>
      </c>
      <c r="G104" s="456">
        <f t="shared" si="75"/>
        <v>326000</v>
      </c>
    </row>
    <row r="105" spans="1:7" s="416" customFormat="1" x14ac:dyDescent="0.25">
      <c r="A105" s="457" t="s">
        <v>595</v>
      </c>
      <c r="B105" s="461" t="s">
        <v>143</v>
      </c>
      <c r="C105" s="456">
        <f>C106+C107</f>
        <v>0</v>
      </c>
      <c r="D105" s="456">
        <f t="shared" ref="D105:G105" si="76">D106+D107</f>
        <v>40000</v>
      </c>
      <c r="E105" s="456">
        <f t="shared" si="76"/>
        <v>270000</v>
      </c>
      <c r="F105" s="456">
        <f t="shared" si="76"/>
        <v>298000</v>
      </c>
      <c r="G105" s="456">
        <f t="shared" si="76"/>
        <v>326000</v>
      </c>
    </row>
    <row r="106" spans="1:7" x14ac:dyDescent="0.25">
      <c r="A106" s="458" t="s">
        <v>596</v>
      </c>
      <c r="B106" s="462" t="s">
        <v>598</v>
      </c>
      <c r="C106" s="455"/>
      <c r="D106" s="455">
        <v>5000</v>
      </c>
      <c r="E106" s="455">
        <v>20000</v>
      </c>
      <c r="F106" s="455">
        <v>23000</v>
      </c>
      <c r="G106" s="455">
        <v>26000</v>
      </c>
    </row>
    <row r="107" spans="1:7" x14ac:dyDescent="0.25">
      <c r="A107" s="458" t="s">
        <v>597</v>
      </c>
      <c r="B107" s="462" t="s">
        <v>599</v>
      </c>
      <c r="C107" s="455"/>
      <c r="D107" s="455">
        <v>35000</v>
      </c>
      <c r="E107" s="455">
        <v>250000</v>
      </c>
      <c r="F107" s="455">
        <v>275000</v>
      </c>
      <c r="G107" s="455">
        <v>300000</v>
      </c>
    </row>
    <row r="108" spans="1:7" x14ac:dyDescent="0.25">
      <c r="A108" s="459">
        <v>329</v>
      </c>
      <c r="B108" s="460" t="s">
        <v>145</v>
      </c>
      <c r="C108" s="415">
        <f t="shared" ref="C108:D108" si="77">C109+C111+C115+C117+C119+C123+C125</f>
        <v>34956.639999999999</v>
      </c>
      <c r="D108" s="415">
        <f t="shared" si="77"/>
        <v>51775.64</v>
      </c>
      <c r="E108" s="415">
        <f>E109+E111+E115+E117+E119+E123+E125</f>
        <v>42300</v>
      </c>
      <c r="F108" s="415">
        <f t="shared" ref="F108:G108" si="78">F109+F111+F115+F117+F119+F123+F125</f>
        <v>43750</v>
      </c>
      <c r="G108" s="415">
        <f t="shared" si="78"/>
        <v>45200</v>
      </c>
    </row>
    <row r="109" spans="1:7" x14ac:dyDescent="0.25">
      <c r="A109" s="459" t="s">
        <v>146</v>
      </c>
      <c r="B109" s="460" t="s">
        <v>147</v>
      </c>
      <c r="C109" s="415">
        <f t="shared" ref="C109:D109" si="79">SUM(C110)</f>
        <v>8798.64</v>
      </c>
      <c r="D109" s="415">
        <f t="shared" si="79"/>
        <v>11613.25</v>
      </c>
      <c r="E109" s="415">
        <f>SUM(E110)</f>
        <v>9500</v>
      </c>
      <c r="F109" s="415">
        <f t="shared" ref="F109:G109" si="80">SUM(F110)</f>
        <v>9750</v>
      </c>
      <c r="G109" s="415">
        <f t="shared" si="80"/>
        <v>10000</v>
      </c>
    </row>
    <row r="110" spans="1:7" x14ac:dyDescent="0.25">
      <c r="A110" s="361">
        <v>32911</v>
      </c>
      <c r="B110" s="360" t="s">
        <v>147</v>
      </c>
      <c r="C110" s="463">
        <v>8798.64</v>
      </c>
      <c r="D110" s="463">
        <v>11613.25</v>
      </c>
      <c r="E110" s="463">
        <v>9500</v>
      </c>
      <c r="F110" s="463">
        <v>9750</v>
      </c>
      <c r="G110" s="463">
        <v>10000</v>
      </c>
    </row>
    <row r="111" spans="1:7" x14ac:dyDescent="0.25">
      <c r="A111" s="459">
        <v>3292</v>
      </c>
      <c r="B111" s="460" t="s">
        <v>148</v>
      </c>
      <c r="C111" s="464">
        <f t="shared" ref="C111:D111" si="81">SUM(C112:C114)</f>
        <v>14370.47</v>
      </c>
      <c r="D111" s="464">
        <f t="shared" si="81"/>
        <v>21235.65</v>
      </c>
      <c r="E111" s="464">
        <f>SUM(E112:E114)</f>
        <v>15000</v>
      </c>
      <c r="F111" s="464">
        <f t="shared" ref="F111:G111" si="82">SUM(F112:F114)</f>
        <v>15450</v>
      </c>
      <c r="G111" s="464">
        <f t="shared" si="82"/>
        <v>15900</v>
      </c>
    </row>
    <row r="112" spans="1:7" x14ac:dyDescent="0.25">
      <c r="A112" s="361">
        <v>32921</v>
      </c>
      <c r="B112" s="360" t="s">
        <v>459</v>
      </c>
      <c r="C112" s="463">
        <v>3470.45</v>
      </c>
      <c r="D112" s="463">
        <v>10250</v>
      </c>
      <c r="E112" s="463">
        <v>4000</v>
      </c>
      <c r="F112" s="463">
        <v>4200</v>
      </c>
      <c r="G112" s="463">
        <v>4400</v>
      </c>
    </row>
    <row r="113" spans="1:7" x14ac:dyDescent="0.25">
      <c r="A113" s="361">
        <v>32922</v>
      </c>
      <c r="B113" s="360" t="s">
        <v>458</v>
      </c>
      <c r="C113" s="463">
        <v>2766.74</v>
      </c>
      <c r="D113" s="463">
        <v>2100</v>
      </c>
      <c r="E113" s="463">
        <v>2800</v>
      </c>
      <c r="F113" s="463">
        <v>2900</v>
      </c>
      <c r="G113" s="463">
        <v>3000</v>
      </c>
    </row>
    <row r="114" spans="1:7" x14ac:dyDescent="0.25">
      <c r="A114" s="361">
        <v>32923</v>
      </c>
      <c r="B114" s="360" t="s">
        <v>456</v>
      </c>
      <c r="C114" s="455">
        <v>8133.28</v>
      </c>
      <c r="D114" s="455">
        <f t="shared" ref="D114" si="83">21235.65-D112-D113</f>
        <v>8885.6500000000015</v>
      </c>
      <c r="E114" s="455">
        <v>8200</v>
      </c>
      <c r="F114" s="455">
        <v>8350</v>
      </c>
      <c r="G114" s="455">
        <v>8500</v>
      </c>
    </row>
    <row r="115" spans="1:7" x14ac:dyDescent="0.25">
      <c r="A115" s="459">
        <v>3293</v>
      </c>
      <c r="B115" s="460" t="s">
        <v>149</v>
      </c>
      <c r="C115" s="456">
        <f t="shared" ref="C115:D115" si="84">SUM(C116)</f>
        <v>2857.91</v>
      </c>
      <c r="D115" s="456">
        <f t="shared" si="84"/>
        <v>3318.07</v>
      </c>
      <c r="E115" s="456">
        <f>SUM(E116)</f>
        <v>3350</v>
      </c>
      <c r="F115" s="456">
        <f t="shared" ref="F115:G115" si="85">SUM(F116)</f>
        <v>3500</v>
      </c>
      <c r="G115" s="456">
        <f t="shared" si="85"/>
        <v>3650</v>
      </c>
    </row>
    <row r="116" spans="1:7" x14ac:dyDescent="0.25">
      <c r="A116" s="361">
        <v>32931</v>
      </c>
      <c r="B116" s="360" t="s">
        <v>149</v>
      </c>
      <c r="C116" s="455">
        <v>2857.91</v>
      </c>
      <c r="D116" s="455">
        <v>3318.07</v>
      </c>
      <c r="E116" s="455">
        <v>3350</v>
      </c>
      <c r="F116" s="455">
        <v>3500</v>
      </c>
      <c r="G116" s="455">
        <v>3650</v>
      </c>
    </row>
    <row r="117" spans="1:7" x14ac:dyDescent="0.25">
      <c r="A117" s="459">
        <v>3294</v>
      </c>
      <c r="B117" s="460" t="s">
        <v>150</v>
      </c>
      <c r="C117" s="456">
        <f t="shared" ref="C117:D117" si="86">SUM(C118)</f>
        <v>2587.89</v>
      </c>
      <c r="D117" s="456">
        <f t="shared" si="86"/>
        <v>1990.84</v>
      </c>
      <c r="E117" s="456">
        <f>SUM(E118)</f>
        <v>2750</v>
      </c>
      <c r="F117" s="456">
        <f t="shared" ref="F117:G117" si="87">SUM(F118)</f>
        <v>2850</v>
      </c>
      <c r="G117" s="456">
        <f t="shared" si="87"/>
        <v>2950</v>
      </c>
    </row>
    <row r="118" spans="1:7" x14ac:dyDescent="0.25">
      <c r="A118" s="361">
        <v>32941</v>
      </c>
      <c r="B118" s="360" t="s">
        <v>460</v>
      </c>
      <c r="C118" s="455">
        <v>2587.89</v>
      </c>
      <c r="D118" s="455">
        <v>1990.84</v>
      </c>
      <c r="E118" s="455">
        <v>2750</v>
      </c>
      <c r="F118" s="455">
        <v>2850</v>
      </c>
      <c r="G118" s="455">
        <v>2950</v>
      </c>
    </row>
    <row r="119" spans="1:7" x14ac:dyDescent="0.25">
      <c r="A119" s="366">
        <v>3295</v>
      </c>
      <c r="B119" s="367" t="s">
        <v>151</v>
      </c>
      <c r="C119" s="456">
        <f t="shared" ref="C119:D119" si="88">SUM(C120:C122)</f>
        <v>292.14</v>
      </c>
      <c r="D119" s="456">
        <f t="shared" si="88"/>
        <v>2654.46</v>
      </c>
      <c r="E119" s="456">
        <f>SUM(E120:E122)</f>
        <v>2000</v>
      </c>
      <c r="F119" s="456">
        <f t="shared" ref="F119:G119" si="89">SUM(F120:F122)</f>
        <v>2200</v>
      </c>
      <c r="G119" s="456">
        <f t="shared" si="89"/>
        <v>2400</v>
      </c>
    </row>
    <row r="120" spans="1:7" x14ac:dyDescent="0.25">
      <c r="A120" s="363">
        <v>32952</v>
      </c>
      <c r="B120" s="362" t="s">
        <v>462</v>
      </c>
      <c r="C120" s="455">
        <v>262.14</v>
      </c>
      <c r="D120" s="455">
        <v>800</v>
      </c>
      <c r="E120" s="455">
        <v>800</v>
      </c>
      <c r="F120" s="455">
        <v>800</v>
      </c>
      <c r="G120" s="455">
        <v>800</v>
      </c>
    </row>
    <row r="121" spans="1:7" x14ac:dyDescent="0.25">
      <c r="A121" s="363">
        <v>32953</v>
      </c>
      <c r="B121" s="362" t="s">
        <v>463</v>
      </c>
      <c r="C121" s="455">
        <v>30</v>
      </c>
      <c r="D121" s="455">
        <v>1450</v>
      </c>
      <c r="E121" s="455">
        <v>750</v>
      </c>
      <c r="F121" s="455">
        <v>900</v>
      </c>
      <c r="G121" s="455">
        <v>1050</v>
      </c>
    </row>
    <row r="122" spans="1:7" x14ac:dyDescent="0.25">
      <c r="A122" s="363">
        <v>32959</v>
      </c>
      <c r="B122" s="362" t="s">
        <v>461</v>
      </c>
      <c r="C122" s="455">
        <v>0</v>
      </c>
      <c r="D122" s="455">
        <f t="shared" ref="D122" si="90">2654.46-D120-D121</f>
        <v>404.46000000000004</v>
      </c>
      <c r="E122" s="455">
        <v>450</v>
      </c>
      <c r="F122" s="455">
        <v>500</v>
      </c>
      <c r="G122" s="455">
        <v>550</v>
      </c>
    </row>
    <row r="123" spans="1:7" x14ac:dyDescent="0.25">
      <c r="A123" s="366">
        <v>3296</v>
      </c>
      <c r="B123" s="367" t="s">
        <v>152</v>
      </c>
      <c r="C123" s="456">
        <f t="shared" ref="C123:D123" si="91">SUM(C124)</f>
        <v>705</v>
      </c>
      <c r="D123" s="456">
        <f t="shared" si="91"/>
        <v>4990.84</v>
      </c>
      <c r="E123" s="456">
        <f>SUM(E124)</f>
        <v>4000</v>
      </c>
      <c r="F123" s="456">
        <f t="shared" ref="F123:G123" si="92">SUM(F124)</f>
        <v>4100</v>
      </c>
      <c r="G123" s="456">
        <f t="shared" si="92"/>
        <v>4200</v>
      </c>
    </row>
    <row r="124" spans="1:7" x14ac:dyDescent="0.25">
      <c r="A124" s="363">
        <v>32961</v>
      </c>
      <c r="B124" s="362" t="s">
        <v>152</v>
      </c>
      <c r="C124" s="455">
        <v>705</v>
      </c>
      <c r="D124" s="455">
        <v>4990.84</v>
      </c>
      <c r="E124" s="455">
        <v>4000</v>
      </c>
      <c r="F124" s="455">
        <v>4100</v>
      </c>
      <c r="G124" s="455">
        <v>4200</v>
      </c>
    </row>
    <row r="125" spans="1:7" x14ac:dyDescent="0.25">
      <c r="A125" s="366" t="s">
        <v>153</v>
      </c>
      <c r="B125" s="367" t="s">
        <v>145</v>
      </c>
      <c r="C125" s="456">
        <f t="shared" ref="C125:D125" si="93">SUM(C126:C127)</f>
        <v>5344.59</v>
      </c>
      <c r="D125" s="456">
        <f t="shared" si="93"/>
        <v>5972.53</v>
      </c>
      <c r="E125" s="456">
        <f>SUM(E126:E127)</f>
        <v>5700</v>
      </c>
      <c r="F125" s="456">
        <f t="shared" ref="F125:G125" si="94">SUM(F126:F127)</f>
        <v>5900</v>
      </c>
      <c r="G125" s="456">
        <f t="shared" si="94"/>
        <v>6100</v>
      </c>
    </row>
    <row r="126" spans="1:7" x14ac:dyDescent="0.25">
      <c r="A126" s="363">
        <v>32991</v>
      </c>
      <c r="B126" s="362" t="s">
        <v>464</v>
      </c>
      <c r="C126" s="455">
        <v>50</v>
      </c>
      <c r="D126" s="455">
        <v>200</v>
      </c>
      <c r="E126" s="455">
        <v>200</v>
      </c>
      <c r="F126" s="455">
        <v>200</v>
      </c>
      <c r="G126" s="455">
        <v>200</v>
      </c>
    </row>
    <row r="127" spans="1:7" x14ac:dyDescent="0.25">
      <c r="A127" s="363">
        <v>32999</v>
      </c>
      <c r="B127" s="362" t="s">
        <v>145</v>
      </c>
      <c r="C127" s="455">
        <v>5294.59</v>
      </c>
      <c r="D127" s="455">
        <v>5772.53</v>
      </c>
      <c r="E127" s="455">
        <v>5500</v>
      </c>
      <c r="F127" s="455">
        <v>5700</v>
      </c>
      <c r="G127" s="455">
        <v>5900</v>
      </c>
    </row>
    <row r="128" spans="1:7" x14ac:dyDescent="0.25">
      <c r="A128" s="450">
        <v>34</v>
      </c>
      <c r="B128" s="451" t="s">
        <v>154</v>
      </c>
      <c r="C128" s="443">
        <f t="shared" ref="C128" si="95">C129</f>
        <v>5895.57</v>
      </c>
      <c r="D128" s="443">
        <f t="shared" ref="D128" si="96">D129</f>
        <v>9972.52</v>
      </c>
      <c r="E128" s="443">
        <f t="shared" ref="E128" si="97">E129</f>
        <v>7475</v>
      </c>
      <c r="F128" s="443">
        <f t="shared" ref="F128" si="98">F129</f>
        <v>7770</v>
      </c>
      <c r="G128" s="443">
        <f t="shared" ref="G128" si="99">G129</f>
        <v>8065</v>
      </c>
    </row>
    <row r="129" spans="1:7" s="416" customFormat="1" x14ac:dyDescent="0.25">
      <c r="A129" s="459">
        <v>343</v>
      </c>
      <c r="B129" s="460" t="s">
        <v>155</v>
      </c>
      <c r="C129" s="415">
        <f>C130+C132+C133+C138</f>
        <v>5895.57</v>
      </c>
      <c r="D129" s="415">
        <f t="shared" ref="D129:G129" si="100">D130+D132+D133+D138</f>
        <v>9972.52</v>
      </c>
      <c r="E129" s="415">
        <f t="shared" si="100"/>
        <v>7475</v>
      </c>
      <c r="F129" s="415">
        <f t="shared" si="100"/>
        <v>7770</v>
      </c>
      <c r="G129" s="415">
        <f t="shared" si="100"/>
        <v>8065</v>
      </c>
    </row>
    <row r="130" spans="1:7" s="416" customFormat="1" x14ac:dyDescent="0.25">
      <c r="A130" s="459" t="s">
        <v>156</v>
      </c>
      <c r="B130" s="460" t="s">
        <v>157</v>
      </c>
      <c r="C130" s="415">
        <f t="shared" ref="C130:D130" si="101">SUM(C131)</f>
        <v>4177.24</v>
      </c>
      <c r="D130" s="415">
        <f t="shared" si="101"/>
        <v>5308.91</v>
      </c>
      <c r="E130" s="415">
        <f>SUM(E131)</f>
        <v>6000</v>
      </c>
      <c r="F130" s="415">
        <f t="shared" ref="F130:G130" si="102">SUM(F131)</f>
        <v>6250</v>
      </c>
      <c r="G130" s="415">
        <f t="shared" si="102"/>
        <v>6500</v>
      </c>
    </row>
    <row r="131" spans="1:7" x14ac:dyDescent="0.25">
      <c r="A131" s="361">
        <v>34312</v>
      </c>
      <c r="B131" s="360" t="s">
        <v>157</v>
      </c>
      <c r="C131" s="455">
        <v>4177.24</v>
      </c>
      <c r="D131" s="455">
        <v>5308.91</v>
      </c>
      <c r="E131" s="455">
        <v>6000</v>
      </c>
      <c r="F131" s="455">
        <v>6250</v>
      </c>
      <c r="G131" s="455">
        <v>6500</v>
      </c>
    </row>
    <row r="132" spans="1:7" x14ac:dyDescent="0.25">
      <c r="A132" s="459">
        <v>3432</v>
      </c>
      <c r="B132" s="460" t="s">
        <v>206</v>
      </c>
      <c r="C132" s="456"/>
      <c r="D132" s="456"/>
      <c r="E132" s="456"/>
      <c r="F132" s="456"/>
      <c r="G132" s="456"/>
    </row>
    <row r="133" spans="1:7" x14ac:dyDescent="0.25">
      <c r="A133" s="366">
        <v>3433</v>
      </c>
      <c r="B133" s="367" t="s">
        <v>158</v>
      </c>
      <c r="C133" s="456">
        <f t="shared" ref="C133:D133" si="103">SUM(C134:C137)</f>
        <v>1375.53</v>
      </c>
      <c r="D133" s="456">
        <f t="shared" si="103"/>
        <v>4663.6099999999997</v>
      </c>
      <c r="E133" s="456">
        <f>SUM(E134:E137)</f>
        <v>1475</v>
      </c>
      <c r="F133" s="456">
        <f t="shared" ref="F133:G133" si="104">SUM(F134:F137)</f>
        <v>1520</v>
      </c>
      <c r="G133" s="456">
        <f t="shared" si="104"/>
        <v>1565</v>
      </c>
    </row>
    <row r="134" spans="1:7" x14ac:dyDescent="0.25">
      <c r="A134" s="361">
        <v>34331</v>
      </c>
      <c r="B134" s="360" t="s">
        <v>467</v>
      </c>
      <c r="C134" s="455">
        <v>11.9</v>
      </c>
      <c r="D134" s="455">
        <v>100</v>
      </c>
      <c r="E134" s="455">
        <v>25</v>
      </c>
      <c r="F134" s="455">
        <v>30</v>
      </c>
      <c r="G134" s="455">
        <v>35</v>
      </c>
    </row>
    <row r="135" spans="1:7" x14ac:dyDescent="0.25">
      <c r="A135" s="361">
        <v>34332</v>
      </c>
      <c r="B135" s="360" t="s">
        <v>468</v>
      </c>
      <c r="C135" s="455">
        <v>315.98</v>
      </c>
      <c r="D135" s="455">
        <v>550</v>
      </c>
      <c r="E135" s="455">
        <v>350</v>
      </c>
      <c r="F135" s="455">
        <v>350</v>
      </c>
      <c r="G135" s="455">
        <v>350</v>
      </c>
    </row>
    <row r="136" spans="1:7" x14ac:dyDescent="0.25">
      <c r="A136" s="361">
        <v>34333</v>
      </c>
      <c r="B136" s="360" t="s">
        <v>469</v>
      </c>
      <c r="C136" s="455">
        <v>486.7</v>
      </c>
      <c r="D136" s="455">
        <v>75</v>
      </c>
      <c r="E136" s="455">
        <v>500</v>
      </c>
      <c r="F136" s="455">
        <v>515</v>
      </c>
      <c r="G136" s="455">
        <v>530</v>
      </c>
    </row>
    <row r="137" spans="1:7" ht="15" customHeight="1" x14ac:dyDescent="0.25">
      <c r="A137" s="363">
        <v>34339</v>
      </c>
      <c r="B137" s="362" t="s">
        <v>470</v>
      </c>
      <c r="C137" s="455">
        <v>560.95000000000005</v>
      </c>
      <c r="D137" s="455">
        <f t="shared" ref="D137" si="105">4663.61-D134-D135-D136</f>
        <v>3938.6099999999997</v>
      </c>
      <c r="E137" s="455">
        <v>600</v>
      </c>
      <c r="F137" s="455">
        <v>625</v>
      </c>
      <c r="G137" s="455">
        <v>650</v>
      </c>
    </row>
    <row r="138" spans="1:7" x14ac:dyDescent="0.25">
      <c r="A138" s="366">
        <v>3434</v>
      </c>
      <c r="B138" s="367" t="s">
        <v>303</v>
      </c>
      <c r="C138" s="456">
        <f>C139</f>
        <v>342.8</v>
      </c>
      <c r="D138" s="456">
        <f t="shared" ref="D138:G138" si="106">D139</f>
        <v>0</v>
      </c>
      <c r="E138" s="456">
        <f t="shared" si="106"/>
        <v>0</v>
      </c>
      <c r="F138" s="456">
        <f t="shared" si="106"/>
        <v>0</v>
      </c>
      <c r="G138" s="456">
        <f t="shared" si="106"/>
        <v>0</v>
      </c>
    </row>
    <row r="139" spans="1:7" x14ac:dyDescent="0.25">
      <c r="A139" s="363">
        <v>34349</v>
      </c>
      <c r="B139" s="362" t="s">
        <v>303</v>
      </c>
      <c r="C139" s="455">
        <v>342.8</v>
      </c>
      <c r="D139" s="455"/>
      <c r="E139" s="455"/>
      <c r="F139" s="455"/>
      <c r="G139" s="455"/>
    </row>
    <row r="140" spans="1:7" s="416" customFormat="1" hidden="1" x14ac:dyDescent="0.25">
      <c r="A140" s="465">
        <v>36</v>
      </c>
      <c r="B140" s="466" t="s">
        <v>304</v>
      </c>
      <c r="C140" s="467">
        <f t="shared" ref="C140:G141" si="107">C141</f>
        <v>0</v>
      </c>
      <c r="D140" s="467">
        <f t="shared" si="107"/>
        <v>0</v>
      </c>
      <c r="E140" s="467">
        <f t="shared" si="107"/>
        <v>0</v>
      </c>
      <c r="F140" s="467">
        <f t="shared" si="107"/>
        <v>0</v>
      </c>
      <c r="G140" s="467">
        <f t="shared" si="107"/>
        <v>0</v>
      </c>
    </row>
    <row r="141" spans="1:7" s="416" customFormat="1" hidden="1" x14ac:dyDescent="0.25">
      <c r="A141" s="366">
        <v>369</v>
      </c>
      <c r="B141" s="367" t="s">
        <v>327</v>
      </c>
      <c r="C141" s="456">
        <f t="shared" si="107"/>
        <v>0</v>
      </c>
      <c r="D141" s="456">
        <f t="shared" si="107"/>
        <v>0</v>
      </c>
      <c r="E141" s="456">
        <f t="shared" si="107"/>
        <v>0</v>
      </c>
      <c r="F141" s="456">
        <f t="shared" si="107"/>
        <v>0</v>
      </c>
      <c r="G141" s="456">
        <f t="shared" si="107"/>
        <v>0</v>
      </c>
    </row>
    <row r="142" spans="1:7" hidden="1" x14ac:dyDescent="0.25">
      <c r="A142" s="363">
        <v>3692</v>
      </c>
      <c r="B142" s="362" t="s">
        <v>328</v>
      </c>
      <c r="C142" s="455"/>
      <c r="D142" s="455"/>
      <c r="E142" s="455"/>
      <c r="F142" s="455"/>
      <c r="G142" s="455"/>
    </row>
    <row r="143" spans="1:7" s="416" customFormat="1" x14ac:dyDescent="0.25">
      <c r="A143" s="465">
        <v>37</v>
      </c>
      <c r="B143" s="466" t="s">
        <v>329</v>
      </c>
      <c r="C143" s="443">
        <f t="shared" ref="C143:G144" si="108">C144</f>
        <v>9591.11</v>
      </c>
      <c r="D143" s="443">
        <f t="shared" si="108"/>
        <v>2000</v>
      </c>
      <c r="E143" s="443">
        <f t="shared" si="108"/>
        <v>1500</v>
      </c>
      <c r="F143" s="443">
        <f t="shared" si="108"/>
        <v>1500</v>
      </c>
      <c r="G143" s="443">
        <f t="shared" si="108"/>
        <v>1500</v>
      </c>
    </row>
    <row r="144" spans="1:7" s="416" customFormat="1" x14ac:dyDescent="0.25">
      <c r="A144" s="366">
        <v>372</v>
      </c>
      <c r="B144" s="367" t="s">
        <v>164</v>
      </c>
      <c r="C144" s="415">
        <f t="shared" si="108"/>
        <v>9591.11</v>
      </c>
      <c r="D144" s="415">
        <f t="shared" si="108"/>
        <v>2000</v>
      </c>
      <c r="E144" s="415">
        <f>E145</f>
        <v>1500</v>
      </c>
      <c r="F144" s="415">
        <f t="shared" si="108"/>
        <v>1500</v>
      </c>
      <c r="G144" s="415">
        <f t="shared" si="108"/>
        <v>1500</v>
      </c>
    </row>
    <row r="145" spans="1:7" s="416" customFormat="1" x14ac:dyDescent="0.25">
      <c r="A145" s="366">
        <v>3721</v>
      </c>
      <c r="B145" s="367" t="s">
        <v>330</v>
      </c>
      <c r="C145" s="415">
        <f t="shared" ref="C145:D145" si="109">SUM(C146:C147)</f>
        <v>9591.11</v>
      </c>
      <c r="D145" s="415">
        <f t="shared" si="109"/>
        <v>2000</v>
      </c>
      <c r="E145" s="415">
        <f>SUM(E146:E147)</f>
        <v>1500</v>
      </c>
      <c r="F145" s="415">
        <f t="shared" ref="F145:G145" si="110">SUM(F146:F147)</f>
        <v>1500</v>
      </c>
      <c r="G145" s="415">
        <f t="shared" si="110"/>
        <v>1500</v>
      </c>
    </row>
    <row r="146" spans="1:7" s="416" customFormat="1" x14ac:dyDescent="0.25">
      <c r="A146" s="363">
        <v>37212</v>
      </c>
      <c r="B146" s="362" t="s">
        <v>521</v>
      </c>
      <c r="C146" s="438">
        <v>0</v>
      </c>
      <c r="D146" s="438">
        <v>1500</v>
      </c>
      <c r="E146" s="438">
        <v>1000</v>
      </c>
      <c r="F146" s="438">
        <v>1000</v>
      </c>
      <c r="G146" s="438">
        <v>1000</v>
      </c>
    </row>
    <row r="147" spans="1:7" x14ac:dyDescent="0.25">
      <c r="A147" s="363">
        <v>37215</v>
      </c>
      <c r="B147" s="362" t="s">
        <v>472</v>
      </c>
      <c r="C147" s="455">
        <v>9591.11</v>
      </c>
      <c r="D147" s="455">
        <v>500</v>
      </c>
      <c r="E147" s="455">
        <v>500</v>
      </c>
      <c r="F147" s="455">
        <v>500</v>
      </c>
      <c r="G147" s="455">
        <v>500</v>
      </c>
    </row>
    <row r="148" spans="1:7" x14ac:dyDescent="0.25">
      <c r="A148" s="450" t="s">
        <v>166</v>
      </c>
      <c r="B148" s="451" t="s">
        <v>99</v>
      </c>
      <c r="C148" s="443">
        <f t="shared" ref="C148:D148" si="111">C149+C151+C157</f>
        <v>476.22</v>
      </c>
      <c r="D148" s="443">
        <f t="shared" si="111"/>
        <v>500</v>
      </c>
      <c r="E148" s="443">
        <f>E149+E151+E157</f>
        <v>500</v>
      </c>
      <c r="F148" s="443">
        <f t="shared" ref="F148:G148" si="112">F149+F151+F157</f>
        <v>500</v>
      </c>
      <c r="G148" s="443">
        <f t="shared" si="112"/>
        <v>500</v>
      </c>
    </row>
    <row r="149" spans="1:7" s="416" customFormat="1" x14ac:dyDescent="0.25">
      <c r="A149" s="452" t="s">
        <v>167</v>
      </c>
      <c r="B149" s="468" t="s">
        <v>168</v>
      </c>
      <c r="C149" s="415">
        <f t="shared" ref="C149:D149" si="113">C150</f>
        <v>0</v>
      </c>
      <c r="D149" s="415">
        <f t="shared" si="113"/>
        <v>0</v>
      </c>
      <c r="E149" s="415">
        <f>E150</f>
        <v>0</v>
      </c>
      <c r="F149" s="415">
        <f t="shared" ref="F149:G149" si="114">F150</f>
        <v>0</v>
      </c>
      <c r="G149" s="415">
        <f t="shared" si="114"/>
        <v>0</v>
      </c>
    </row>
    <row r="150" spans="1:7" x14ac:dyDescent="0.25">
      <c r="A150" s="452" t="s">
        <v>169</v>
      </c>
      <c r="B150" s="468" t="s">
        <v>168</v>
      </c>
      <c r="C150" s="456"/>
      <c r="D150" s="456"/>
      <c r="E150" s="456"/>
      <c r="F150" s="456"/>
      <c r="G150" s="456"/>
    </row>
    <row r="151" spans="1:7" x14ac:dyDescent="0.25">
      <c r="A151" s="366">
        <v>383</v>
      </c>
      <c r="B151" s="367" t="s">
        <v>170</v>
      </c>
      <c r="C151" s="415">
        <f t="shared" ref="C151:D151" si="115">C152+C153+C154+C156+C158</f>
        <v>476.22</v>
      </c>
      <c r="D151" s="415">
        <f t="shared" si="115"/>
        <v>500</v>
      </c>
      <c r="E151" s="415">
        <f>E152+E153+E154+E156+E158</f>
        <v>500</v>
      </c>
      <c r="F151" s="415">
        <f t="shared" ref="F151:G151" si="116">F152+F153+F154+F156+F158</f>
        <v>500</v>
      </c>
      <c r="G151" s="415">
        <f t="shared" si="116"/>
        <v>500</v>
      </c>
    </row>
    <row r="152" spans="1:7" x14ac:dyDescent="0.25">
      <c r="A152" s="366">
        <v>3831</v>
      </c>
      <c r="B152" s="367" t="s">
        <v>331</v>
      </c>
      <c r="C152" s="456"/>
      <c r="D152" s="456"/>
      <c r="E152" s="456"/>
      <c r="F152" s="456"/>
      <c r="G152" s="456"/>
    </row>
    <row r="153" spans="1:7" s="429" customFormat="1" x14ac:dyDescent="0.25">
      <c r="A153" s="366">
        <v>3833</v>
      </c>
      <c r="B153" s="367" t="s">
        <v>172</v>
      </c>
      <c r="C153" s="456"/>
      <c r="D153" s="456"/>
      <c r="E153" s="456"/>
      <c r="F153" s="456"/>
      <c r="G153" s="456"/>
    </row>
    <row r="154" spans="1:7" s="429" customFormat="1" x14ac:dyDescent="0.25">
      <c r="A154" s="366">
        <v>3834</v>
      </c>
      <c r="B154" s="367" t="s">
        <v>173</v>
      </c>
      <c r="C154" s="456">
        <f t="shared" ref="C154:D154" si="117">SUM(C155)</f>
        <v>476.22</v>
      </c>
      <c r="D154" s="456">
        <f t="shared" si="117"/>
        <v>500</v>
      </c>
      <c r="E154" s="456">
        <f>SUM(E155)</f>
        <v>500</v>
      </c>
      <c r="F154" s="456">
        <f t="shared" ref="F154:G154" si="118">SUM(F155)</f>
        <v>500</v>
      </c>
      <c r="G154" s="456">
        <f t="shared" si="118"/>
        <v>500</v>
      </c>
    </row>
    <row r="155" spans="1:7" s="429" customFormat="1" x14ac:dyDescent="0.25">
      <c r="A155" s="363">
        <v>38341</v>
      </c>
      <c r="B155" s="362" t="s">
        <v>173</v>
      </c>
      <c r="C155" s="455">
        <v>476.22</v>
      </c>
      <c r="D155" s="455">
        <v>500</v>
      </c>
      <c r="E155" s="455">
        <v>500</v>
      </c>
      <c r="F155" s="455">
        <v>500</v>
      </c>
      <c r="G155" s="455">
        <v>500</v>
      </c>
    </row>
    <row r="156" spans="1:7" s="429" customFormat="1" x14ac:dyDescent="0.25">
      <c r="A156" s="366">
        <v>3835</v>
      </c>
      <c r="B156" s="367" t="s">
        <v>174</v>
      </c>
      <c r="C156" s="456"/>
      <c r="D156" s="456"/>
      <c r="E156" s="456"/>
      <c r="F156" s="456"/>
      <c r="G156" s="456"/>
    </row>
    <row r="157" spans="1:7" s="429" customFormat="1" x14ac:dyDescent="0.25">
      <c r="A157" s="366">
        <v>385</v>
      </c>
      <c r="B157" s="367" t="s">
        <v>310</v>
      </c>
      <c r="C157" s="456">
        <f t="shared" ref="C157:D157" si="119">C158</f>
        <v>0</v>
      </c>
      <c r="D157" s="456">
        <f t="shared" si="119"/>
        <v>0</v>
      </c>
      <c r="E157" s="456">
        <f>E158</f>
        <v>0</v>
      </c>
      <c r="F157" s="456">
        <f t="shared" ref="F157:G157" si="120">F158</f>
        <v>0</v>
      </c>
      <c r="G157" s="456">
        <f t="shared" si="120"/>
        <v>0</v>
      </c>
    </row>
    <row r="158" spans="1:7" s="429" customFormat="1" x14ac:dyDescent="0.25">
      <c r="A158" s="366">
        <v>3859</v>
      </c>
      <c r="B158" s="367" t="s">
        <v>310</v>
      </c>
      <c r="C158" s="456"/>
      <c r="D158" s="456"/>
      <c r="E158" s="456">
        <v>0</v>
      </c>
      <c r="F158" s="456">
        <v>0</v>
      </c>
      <c r="G158" s="456">
        <v>0</v>
      </c>
    </row>
    <row r="159" spans="1:7" s="416" customFormat="1" x14ac:dyDescent="0.25">
      <c r="A159" s="424">
        <v>4</v>
      </c>
      <c r="B159" s="425" t="s">
        <v>175</v>
      </c>
      <c r="C159" s="426">
        <f t="shared" ref="C159:D159" si="121">C160+C166+C188</f>
        <v>20996.03</v>
      </c>
      <c r="D159" s="426">
        <f t="shared" si="121"/>
        <v>125512.17000000001</v>
      </c>
      <c r="E159" s="426">
        <f>E160+E166+E188</f>
        <v>85372.28</v>
      </c>
      <c r="F159" s="426">
        <f>F160+F166+F188</f>
        <v>88322.28</v>
      </c>
      <c r="G159" s="426">
        <f>G160+G166+G188</f>
        <v>91272.28</v>
      </c>
    </row>
    <row r="160" spans="1:7" x14ac:dyDescent="0.25">
      <c r="A160" s="450" t="s">
        <v>176</v>
      </c>
      <c r="B160" s="469" t="s">
        <v>177</v>
      </c>
      <c r="C160" s="443">
        <f t="shared" ref="C160:D160" si="122">C161+C164</f>
        <v>0</v>
      </c>
      <c r="D160" s="443">
        <f t="shared" si="122"/>
        <v>0</v>
      </c>
      <c r="E160" s="443">
        <f>E161+E164</f>
        <v>0</v>
      </c>
      <c r="F160" s="443">
        <f t="shared" ref="F160:G160" si="123">F161+F164</f>
        <v>0</v>
      </c>
      <c r="G160" s="443">
        <f t="shared" si="123"/>
        <v>0</v>
      </c>
    </row>
    <row r="161" spans="1:7" x14ac:dyDescent="0.25">
      <c r="A161" s="452" t="s">
        <v>178</v>
      </c>
      <c r="B161" s="470" t="s">
        <v>179</v>
      </c>
      <c r="C161" s="415">
        <f t="shared" ref="C161:D161" si="124">C162</f>
        <v>0</v>
      </c>
      <c r="D161" s="415">
        <f t="shared" si="124"/>
        <v>0</v>
      </c>
      <c r="E161" s="415">
        <f>E162</f>
        <v>0</v>
      </c>
      <c r="F161" s="415">
        <f t="shared" ref="F161:G161" si="125">F163</f>
        <v>0</v>
      </c>
      <c r="G161" s="415">
        <f t="shared" si="125"/>
        <v>0</v>
      </c>
    </row>
    <row r="162" spans="1:7" x14ac:dyDescent="0.25">
      <c r="A162" s="452" t="s">
        <v>180</v>
      </c>
      <c r="B162" s="470" t="s">
        <v>181</v>
      </c>
      <c r="C162" s="415">
        <f t="shared" ref="C162:D162" si="126">SUM(C163)</f>
        <v>0</v>
      </c>
      <c r="D162" s="415">
        <f t="shared" si="126"/>
        <v>0</v>
      </c>
      <c r="E162" s="415">
        <f>SUM(E163)</f>
        <v>0</v>
      </c>
      <c r="F162" s="415">
        <f t="shared" ref="F162:G162" si="127">SUM(F163)</f>
        <v>0</v>
      </c>
      <c r="G162" s="415">
        <f t="shared" si="127"/>
        <v>0</v>
      </c>
    </row>
    <row r="163" spans="1:7" x14ac:dyDescent="0.25">
      <c r="A163" s="454" t="s">
        <v>522</v>
      </c>
      <c r="B163" s="471" t="s">
        <v>181</v>
      </c>
      <c r="C163" s="438"/>
      <c r="D163" s="438"/>
      <c r="E163" s="438"/>
      <c r="F163" s="438"/>
      <c r="G163" s="438"/>
    </row>
    <row r="164" spans="1:7" s="416" customFormat="1" x14ac:dyDescent="0.25">
      <c r="A164" s="459">
        <v>412</v>
      </c>
      <c r="B164" s="472" t="s">
        <v>182</v>
      </c>
      <c r="C164" s="165">
        <f t="shared" ref="C164:D164" si="128">C165</f>
        <v>0</v>
      </c>
      <c r="D164" s="165">
        <f t="shared" si="128"/>
        <v>0</v>
      </c>
      <c r="E164" s="165">
        <f>E165</f>
        <v>0</v>
      </c>
      <c r="F164" s="165">
        <f t="shared" ref="F164:G164" si="129">F165</f>
        <v>0</v>
      </c>
      <c r="G164" s="165">
        <f t="shared" si="129"/>
        <v>0</v>
      </c>
    </row>
    <row r="165" spans="1:7" s="430" customFormat="1" x14ac:dyDescent="0.25">
      <c r="A165" s="459">
        <v>4123</v>
      </c>
      <c r="B165" s="472" t="s">
        <v>183</v>
      </c>
      <c r="C165" s="456">
        <v>0</v>
      </c>
      <c r="D165" s="456">
        <v>0</v>
      </c>
      <c r="E165" s="456">
        <v>0</v>
      </c>
      <c r="F165" s="456">
        <v>0</v>
      </c>
      <c r="G165" s="456">
        <v>0</v>
      </c>
    </row>
    <row r="166" spans="1:7" s="413" customFormat="1" x14ac:dyDescent="0.25">
      <c r="A166" s="450">
        <v>42</v>
      </c>
      <c r="B166" s="451" t="s">
        <v>184</v>
      </c>
      <c r="C166" s="443">
        <f t="shared" ref="C166:D166" si="130">C167+C183+C186</f>
        <v>7392.89</v>
      </c>
      <c r="D166" s="443">
        <f t="shared" si="130"/>
        <v>102328.35</v>
      </c>
      <c r="E166" s="443">
        <f>E167+E183+E186</f>
        <v>75372.28</v>
      </c>
      <c r="F166" s="443">
        <f>F167+F183+F186</f>
        <v>78322.28</v>
      </c>
      <c r="G166" s="443">
        <f>G167+G183+G186</f>
        <v>81272.28</v>
      </c>
    </row>
    <row r="167" spans="1:7" s="416" customFormat="1" x14ac:dyDescent="0.25">
      <c r="A167" s="452">
        <v>422</v>
      </c>
      <c r="B167" s="453" t="s">
        <v>185</v>
      </c>
      <c r="C167" s="415">
        <f t="shared" ref="C167:D167" si="131">C168+C172+C173+C176+C179+C181</f>
        <v>7392.89</v>
      </c>
      <c r="D167" s="415">
        <f t="shared" si="131"/>
        <v>95606.07</v>
      </c>
      <c r="E167" s="415">
        <f>E168+E172+E173+E176+E179+E181</f>
        <v>68650</v>
      </c>
      <c r="F167" s="415">
        <f>F168+F172+F173+F176+F179+F181</f>
        <v>71600</v>
      </c>
      <c r="G167" s="415">
        <f>G168+G172+G173+G176+G179+G181</f>
        <v>74550</v>
      </c>
    </row>
    <row r="168" spans="1:7" s="416" customFormat="1" x14ac:dyDescent="0.25">
      <c r="A168" s="452" t="s">
        <v>186</v>
      </c>
      <c r="B168" s="453" t="s">
        <v>187</v>
      </c>
      <c r="C168" s="415">
        <f t="shared" ref="C168:D168" si="132">SUM(C169:C171)</f>
        <v>0</v>
      </c>
      <c r="D168" s="415">
        <f t="shared" si="132"/>
        <v>13272.28</v>
      </c>
      <c r="E168" s="415">
        <f>SUM(E169:E171)</f>
        <v>7800</v>
      </c>
      <c r="F168" s="415">
        <f>SUM(F169:F171)</f>
        <v>7800</v>
      </c>
      <c r="G168" s="415">
        <f>SUM(G169:G171)</f>
        <v>7800</v>
      </c>
    </row>
    <row r="169" spans="1:7" s="416" customFormat="1" x14ac:dyDescent="0.25">
      <c r="A169" s="454">
        <v>42211</v>
      </c>
      <c r="B169" s="357" t="s">
        <v>473</v>
      </c>
      <c r="C169" s="438">
        <v>0</v>
      </c>
      <c r="D169" s="438">
        <v>1250</v>
      </c>
      <c r="E169" s="438">
        <v>1000</v>
      </c>
      <c r="F169" s="438">
        <v>1000</v>
      </c>
      <c r="G169" s="438">
        <v>1000</v>
      </c>
    </row>
    <row r="170" spans="1:7" s="416" customFormat="1" x14ac:dyDescent="0.25">
      <c r="A170" s="454">
        <v>42212</v>
      </c>
      <c r="B170" s="357" t="s">
        <v>474</v>
      </c>
      <c r="C170" s="438">
        <v>0</v>
      </c>
      <c r="D170" s="438">
        <v>10672.28</v>
      </c>
      <c r="E170" s="438">
        <v>6000</v>
      </c>
      <c r="F170" s="438">
        <v>6000</v>
      </c>
      <c r="G170" s="438">
        <v>6000</v>
      </c>
    </row>
    <row r="171" spans="1:7" x14ac:dyDescent="0.25">
      <c r="A171" s="454">
        <v>42219</v>
      </c>
      <c r="B171" s="357" t="s">
        <v>475</v>
      </c>
      <c r="C171" s="455">
        <v>0</v>
      </c>
      <c r="D171" s="455">
        <v>1350</v>
      </c>
      <c r="E171" s="455">
        <v>800</v>
      </c>
      <c r="F171" s="455">
        <v>800</v>
      </c>
      <c r="G171" s="455">
        <v>800</v>
      </c>
    </row>
    <row r="172" spans="1:7" x14ac:dyDescent="0.25">
      <c r="A172" s="452" t="s">
        <v>188</v>
      </c>
      <c r="B172" s="453" t="s">
        <v>189</v>
      </c>
      <c r="C172" s="456"/>
      <c r="D172" s="456"/>
      <c r="E172" s="456"/>
      <c r="F172" s="456"/>
      <c r="G172" s="456"/>
    </row>
    <row r="173" spans="1:7" x14ac:dyDescent="0.25">
      <c r="A173" s="459">
        <v>4223</v>
      </c>
      <c r="B173" s="472" t="s">
        <v>190</v>
      </c>
      <c r="C173" s="456">
        <f t="shared" ref="C173:D173" si="133">SUM(C174:C175)</f>
        <v>0</v>
      </c>
      <c r="D173" s="456">
        <f t="shared" si="133"/>
        <v>13272.28</v>
      </c>
      <c r="E173" s="456">
        <f>SUM(E174:E175)</f>
        <v>7350</v>
      </c>
      <c r="F173" s="456">
        <f>SUM(F174:F175)</f>
        <v>7850</v>
      </c>
      <c r="G173" s="456">
        <f>SUM(G174:G175)</f>
        <v>8350</v>
      </c>
    </row>
    <row r="174" spans="1:7" x14ac:dyDescent="0.25">
      <c r="A174" s="454">
        <v>42231</v>
      </c>
      <c r="B174" s="357" t="s">
        <v>477</v>
      </c>
      <c r="C174" s="455">
        <v>0</v>
      </c>
      <c r="D174" s="455">
        <v>12922.28</v>
      </c>
      <c r="E174" s="455">
        <v>7000</v>
      </c>
      <c r="F174" s="455">
        <v>7500</v>
      </c>
      <c r="G174" s="455">
        <v>8000</v>
      </c>
    </row>
    <row r="175" spans="1:7" x14ac:dyDescent="0.25">
      <c r="A175" s="361">
        <v>42232</v>
      </c>
      <c r="B175" s="368" t="s">
        <v>476</v>
      </c>
      <c r="C175" s="455">
        <v>0</v>
      </c>
      <c r="D175" s="455">
        <v>350</v>
      </c>
      <c r="E175" s="455">
        <v>350</v>
      </c>
      <c r="F175" s="455">
        <v>350</v>
      </c>
      <c r="G175" s="455">
        <v>350</v>
      </c>
    </row>
    <row r="176" spans="1:7" x14ac:dyDescent="0.25">
      <c r="A176" s="459">
        <v>4224</v>
      </c>
      <c r="B176" s="472" t="s">
        <v>191</v>
      </c>
      <c r="C176" s="456">
        <f t="shared" ref="C176:D176" si="134">SUM(C177:C178)</f>
        <v>0</v>
      </c>
      <c r="D176" s="456">
        <f t="shared" si="134"/>
        <v>59725.26</v>
      </c>
      <c r="E176" s="456">
        <f>SUM(E177:E178)</f>
        <v>46500</v>
      </c>
      <c r="F176" s="456">
        <f t="shared" ref="F176:G176" si="135">SUM(F177:F178)</f>
        <v>48600</v>
      </c>
      <c r="G176" s="456">
        <f t="shared" si="135"/>
        <v>50700</v>
      </c>
    </row>
    <row r="177" spans="1:7" x14ac:dyDescent="0.25">
      <c r="A177" s="361">
        <v>42241</v>
      </c>
      <c r="B177" s="368" t="s">
        <v>478</v>
      </c>
      <c r="C177" s="455">
        <v>0</v>
      </c>
      <c r="D177" s="455">
        <v>57475.26</v>
      </c>
      <c r="E177" s="455">
        <v>45000</v>
      </c>
      <c r="F177" s="455">
        <v>47000</v>
      </c>
      <c r="G177" s="455">
        <v>49000</v>
      </c>
    </row>
    <row r="178" spans="1:7" x14ac:dyDescent="0.25">
      <c r="A178" s="361">
        <v>42242</v>
      </c>
      <c r="B178" s="368" t="s">
        <v>479</v>
      </c>
      <c r="C178" s="455">
        <v>0</v>
      </c>
      <c r="D178" s="455">
        <v>2250</v>
      </c>
      <c r="E178" s="455">
        <v>1500</v>
      </c>
      <c r="F178" s="455">
        <v>1600</v>
      </c>
      <c r="G178" s="455">
        <v>1700</v>
      </c>
    </row>
    <row r="179" spans="1:7" x14ac:dyDescent="0.25">
      <c r="A179" s="459">
        <v>4225</v>
      </c>
      <c r="B179" s="472" t="s">
        <v>603</v>
      </c>
      <c r="C179" s="456">
        <f t="shared" ref="C179:D179" si="136">SUM(C180)</f>
        <v>7392.89</v>
      </c>
      <c r="D179" s="456">
        <f t="shared" si="136"/>
        <v>5354.57</v>
      </c>
      <c r="E179" s="456">
        <f>SUM(E180)</f>
        <v>5000</v>
      </c>
      <c r="F179" s="456">
        <f t="shared" ref="F179:G179" si="137">SUM(F180)</f>
        <v>5150</v>
      </c>
      <c r="G179" s="456">
        <f t="shared" si="137"/>
        <v>5300</v>
      </c>
    </row>
    <row r="180" spans="1:7" s="430" customFormat="1" x14ac:dyDescent="0.25">
      <c r="A180" s="361">
        <v>42259</v>
      </c>
      <c r="B180" s="368" t="s">
        <v>579</v>
      </c>
      <c r="C180" s="455">
        <v>7392.89</v>
      </c>
      <c r="D180" s="455">
        <v>5354.57</v>
      </c>
      <c r="E180" s="455">
        <v>5000</v>
      </c>
      <c r="F180" s="455">
        <v>5150</v>
      </c>
      <c r="G180" s="455">
        <v>5300</v>
      </c>
    </row>
    <row r="181" spans="1:7" s="430" customFormat="1" x14ac:dyDescent="0.25">
      <c r="A181" s="459">
        <v>4227</v>
      </c>
      <c r="B181" s="472" t="s">
        <v>193</v>
      </c>
      <c r="C181" s="456">
        <f t="shared" ref="C181:D181" si="138">SUM(C182)</f>
        <v>0</v>
      </c>
      <c r="D181" s="456">
        <f t="shared" si="138"/>
        <v>3981.68</v>
      </c>
      <c r="E181" s="456">
        <f>SUM(E182)</f>
        <v>2000</v>
      </c>
      <c r="F181" s="456">
        <f t="shared" ref="F181:G181" si="139">SUM(F182)</f>
        <v>2200</v>
      </c>
      <c r="G181" s="456">
        <f t="shared" si="139"/>
        <v>2400</v>
      </c>
    </row>
    <row r="182" spans="1:7" s="430" customFormat="1" x14ac:dyDescent="0.25">
      <c r="A182" s="361">
        <v>42273</v>
      </c>
      <c r="B182" s="368" t="s">
        <v>193</v>
      </c>
      <c r="C182" s="455">
        <v>0</v>
      </c>
      <c r="D182" s="455">
        <v>3981.68</v>
      </c>
      <c r="E182" s="455">
        <v>2000</v>
      </c>
      <c r="F182" s="455">
        <v>2200</v>
      </c>
      <c r="G182" s="455">
        <v>2400</v>
      </c>
    </row>
    <row r="183" spans="1:7" s="427" customFormat="1" x14ac:dyDescent="0.25">
      <c r="A183" s="459">
        <v>423</v>
      </c>
      <c r="B183" s="472" t="s">
        <v>194</v>
      </c>
      <c r="C183" s="415">
        <f t="shared" ref="C183:D183" si="140">C185</f>
        <v>0</v>
      </c>
      <c r="D183" s="415">
        <f t="shared" si="140"/>
        <v>6722.28</v>
      </c>
      <c r="E183" s="415">
        <f>E185</f>
        <v>6722.28</v>
      </c>
      <c r="F183" s="415">
        <f t="shared" ref="F183:G183" si="141">F185</f>
        <v>6722.28</v>
      </c>
      <c r="G183" s="415">
        <f t="shared" si="141"/>
        <v>6722.28</v>
      </c>
    </row>
    <row r="184" spans="1:7" s="427" customFormat="1" x14ac:dyDescent="0.25">
      <c r="A184" s="459">
        <v>4231</v>
      </c>
      <c r="B184" s="472" t="s">
        <v>81</v>
      </c>
      <c r="C184" s="415">
        <f t="shared" ref="C184:D184" si="142">SUM(C185)</f>
        <v>0</v>
      </c>
      <c r="D184" s="415">
        <f t="shared" si="142"/>
        <v>6722.28</v>
      </c>
      <c r="E184" s="415">
        <f>SUM(E185)</f>
        <v>6722.28</v>
      </c>
      <c r="F184" s="415">
        <f t="shared" ref="F184:G184" si="143">SUM(F185)</f>
        <v>6722.28</v>
      </c>
      <c r="G184" s="415">
        <f t="shared" si="143"/>
        <v>6722.28</v>
      </c>
    </row>
    <row r="185" spans="1:7" s="430" customFormat="1" x14ac:dyDescent="0.25">
      <c r="A185" s="361">
        <v>42311</v>
      </c>
      <c r="B185" s="368" t="s">
        <v>480</v>
      </c>
      <c r="C185" s="455">
        <v>0</v>
      </c>
      <c r="D185" s="455">
        <v>6722.28</v>
      </c>
      <c r="E185" s="455">
        <v>6722.28</v>
      </c>
      <c r="F185" s="455">
        <v>6722.28</v>
      </c>
      <c r="G185" s="455">
        <v>6722.28</v>
      </c>
    </row>
    <row r="186" spans="1:7" s="427" customFormat="1" x14ac:dyDescent="0.25">
      <c r="A186" s="459">
        <v>426</v>
      </c>
      <c r="B186" s="265" t="s">
        <v>195</v>
      </c>
      <c r="C186" s="165">
        <f t="shared" ref="C186:D186" si="144">C187</f>
        <v>0</v>
      </c>
      <c r="D186" s="165">
        <f t="shared" si="144"/>
        <v>0</v>
      </c>
      <c r="E186" s="165">
        <f>E187</f>
        <v>0</v>
      </c>
      <c r="F186" s="165">
        <f t="shared" ref="F186:G186" si="145">F187</f>
        <v>0</v>
      </c>
      <c r="G186" s="165">
        <f t="shared" si="145"/>
        <v>0</v>
      </c>
    </row>
    <row r="187" spans="1:7" s="430" customFormat="1" x14ac:dyDescent="0.25">
      <c r="A187" s="459">
        <v>4262</v>
      </c>
      <c r="B187" s="265" t="s">
        <v>196</v>
      </c>
      <c r="C187" s="415"/>
      <c r="D187" s="415"/>
      <c r="E187" s="415"/>
      <c r="F187" s="415"/>
      <c r="G187" s="415"/>
    </row>
    <row r="188" spans="1:7" s="431" customFormat="1" x14ac:dyDescent="0.25">
      <c r="A188" s="450" t="s">
        <v>197</v>
      </c>
      <c r="B188" s="469" t="s">
        <v>200</v>
      </c>
      <c r="C188" s="443">
        <f t="shared" ref="C188:D188" si="146">C189+C192</f>
        <v>13603.14</v>
      </c>
      <c r="D188" s="443">
        <f t="shared" si="146"/>
        <v>23183.82</v>
      </c>
      <c r="E188" s="443">
        <f>E189+E192</f>
        <v>10000</v>
      </c>
      <c r="F188" s="443">
        <f t="shared" ref="F188:G188" si="147">F189+F192</f>
        <v>10000</v>
      </c>
      <c r="G188" s="443">
        <f t="shared" si="147"/>
        <v>10000</v>
      </c>
    </row>
    <row r="189" spans="1:7" s="416" customFormat="1" x14ac:dyDescent="0.25">
      <c r="A189" s="452" t="s">
        <v>199</v>
      </c>
      <c r="B189" s="453" t="s">
        <v>208</v>
      </c>
      <c r="C189" s="415">
        <f t="shared" ref="C189:D189" si="148">C190</f>
        <v>13603.14</v>
      </c>
      <c r="D189" s="415">
        <f t="shared" si="148"/>
        <v>23183.82</v>
      </c>
      <c r="E189" s="415">
        <f>E190</f>
        <v>10000</v>
      </c>
      <c r="F189" s="415">
        <f t="shared" ref="F189:G189" si="149">F190</f>
        <v>10000</v>
      </c>
      <c r="G189" s="415">
        <f t="shared" si="149"/>
        <v>10000</v>
      </c>
    </row>
    <row r="190" spans="1:7" s="416" customFormat="1" x14ac:dyDescent="0.25">
      <c r="A190" s="452" t="s">
        <v>201</v>
      </c>
      <c r="B190" s="453" t="s">
        <v>200</v>
      </c>
      <c r="C190" s="415">
        <f t="shared" ref="C190:D190" si="150">SUM(C191)</f>
        <v>13603.14</v>
      </c>
      <c r="D190" s="415">
        <f t="shared" si="150"/>
        <v>23183.82</v>
      </c>
      <c r="E190" s="415">
        <f>SUM(E191)</f>
        <v>10000</v>
      </c>
      <c r="F190" s="415">
        <f t="shared" ref="F190:G190" si="151">SUM(F191)</f>
        <v>10000</v>
      </c>
      <c r="G190" s="415">
        <f t="shared" si="151"/>
        <v>10000</v>
      </c>
    </row>
    <row r="191" spans="1:7" s="429" customFormat="1" x14ac:dyDescent="0.25">
      <c r="A191" s="454" t="s">
        <v>523</v>
      </c>
      <c r="B191" s="357" t="s">
        <v>200</v>
      </c>
      <c r="C191" s="455">
        <v>13603.14</v>
      </c>
      <c r="D191" s="455">
        <v>23183.82</v>
      </c>
      <c r="E191" s="455">
        <v>10000</v>
      </c>
      <c r="F191" s="455">
        <v>10000</v>
      </c>
      <c r="G191" s="455">
        <v>10000</v>
      </c>
    </row>
    <row r="192" spans="1:7" s="432" customFormat="1" x14ac:dyDescent="0.25">
      <c r="A192" s="452" t="s">
        <v>202</v>
      </c>
      <c r="B192" s="453" t="s">
        <v>203</v>
      </c>
      <c r="C192" s="473">
        <f t="shared" ref="C192:D192" si="152">C193</f>
        <v>0</v>
      </c>
      <c r="D192" s="473">
        <f t="shared" si="152"/>
        <v>0</v>
      </c>
      <c r="E192" s="473">
        <f>E193</f>
        <v>0</v>
      </c>
      <c r="F192" s="473">
        <f t="shared" ref="F192:G192" si="153">F193</f>
        <v>0</v>
      </c>
      <c r="G192" s="473">
        <f t="shared" si="153"/>
        <v>0</v>
      </c>
    </row>
    <row r="193" spans="1:7" s="433" customFormat="1" x14ac:dyDescent="0.25">
      <c r="A193" s="452" t="s">
        <v>204</v>
      </c>
      <c r="B193" s="453" t="s">
        <v>203</v>
      </c>
      <c r="C193" s="473"/>
      <c r="D193" s="473"/>
      <c r="E193" s="473"/>
      <c r="F193" s="473"/>
      <c r="G193" s="473"/>
    </row>
    <row r="194" spans="1:7" s="434" customFormat="1" x14ac:dyDescent="0.25">
      <c r="A194" s="474" t="s">
        <v>66</v>
      </c>
      <c r="B194" s="475" t="s">
        <v>211</v>
      </c>
      <c r="C194" s="422">
        <f t="shared" ref="C194:D194" si="154">C195+C277</f>
        <v>140194.37</v>
      </c>
      <c r="D194" s="422">
        <f t="shared" si="154"/>
        <v>163116.33000000002</v>
      </c>
      <c r="E194" s="422">
        <f>E195+E277</f>
        <v>163116.33000000002</v>
      </c>
      <c r="F194" s="422">
        <f t="shared" ref="F194:G194" si="155">F195+F277</f>
        <v>163116.33000000002</v>
      </c>
      <c r="G194" s="422">
        <f t="shared" si="155"/>
        <v>163116.33000000002</v>
      </c>
    </row>
    <row r="195" spans="1:7" s="434" customFormat="1" x14ac:dyDescent="0.25">
      <c r="A195" s="476" t="s">
        <v>87</v>
      </c>
      <c r="B195" s="425" t="s">
        <v>88</v>
      </c>
      <c r="C195" s="426">
        <f t="shared" ref="C195:D195" si="156">C196+C210+C260+C266+C269</f>
        <v>140194.37</v>
      </c>
      <c r="D195" s="426">
        <f t="shared" si="156"/>
        <v>163116.33000000002</v>
      </c>
      <c r="E195" s="426">
        <f>E196+E210+E260+E266+E269</f>
        <v>163116.33000000002</v>
      </c>
      <c r="F195" s="426">
        <f t="shared" ref="F195:G195" si="157">F196+F210+F260+F266+F269</f>
        <v>163116.33000000002</v>
      </c>
      <c r="G195" s="426">
        <f t="shared" si="157"/>
        <v>163116.33000000002</v>
      </c>
    </row>
    <row r="196" spans="1:7" s="434" customFormat="1" x14ac:dyDescent="0.25">
      <c r="A196" s="450">
        <v>31</v>
      </c>
      <c r="B196" s="451" t="s">
        <v>89</v>
      </c>
      <c r="C196" s="443">
        <f t="shared" ref="C196:D196" si="158">C197+C204+C207</f>
        <v>62630.28</v>
      </c>
      <c r="D196" s="443">
        <f t="shared" si="158"/>
        <v>67928.2</v>
      </c>
      <c r="E196" s="443">
        <f>E197+E204+E207</f>
        <v>67928.2</v>
      </c>
      <c r="F196" s="443">
        <f t="shared" ref="F196:G196" si="159">F197+F204+F207</f>
        <v>67928.2</v>
      </c>
      <c r="G196" s="443">
        <f t="shared" si="159"/>
        <v>67928.2</v>
      </c>
    </row>
    <row r="197" spans="1:7" s="434" customFormat="1" x14ac:dyDescent="0.25">
      <c r="A197" s="452">
        <v>311</v>
      </c>
      <c r="B197" s="453" t="s">
        <v>90</v>
      </c>
      <c r="C197" s="415">
        <f t="shared" ref="C197:D197" si="160">C198+C200+C201+C202</f>
        <v>52423.519999999997</v>
      </c>
      <c r="D197" s="415">
        <f t="shared" si="160"/>
        <v>56139.759999999995</v>
      </c>
      <c r="E197" s="415">
        <f>E198+E200+E201+E202</f>
        <v>56139.759999999995</v>
      </c>
      <c r="F197" s="415">
        <f t="shared" ref="F197:G197" si="161">F198+F200+F201+F202</f>
        <v>56139.759999999995</v>
      </c>
      <c r="G197" s="415">
        <f t="shared" si="161"/>
        <v>56139.759999999995</v>
      </c>
    </row>
    <row r="198" spans="1:7" s="434" customFormat="1" x14ac:dyDescent="0.25">
      <c r="A198" s="452">
        <v>3111</v>
      </c>
      <c r="B198" s="453" t="s">
        <v>91</v>
      </c>
      <c r="C198" s="415">
        <f t="shared" ref="C198:D198" si="162">SUM(C199)</f>
        <v>52423.519999999997</v>
      </c>
      <c r="D198" s="415">
        <f t="shared" si="162"/>
        <v>56139.759999999995</v>
      </c>
      <c r="E198" s="415">
        <f>SUM(E199)</f>
        <v>56139.759999999995</v>
      </c>
      <c r="F198" s="415">
        <f t="shared" ref="F198:G198" si="163">SUM(F199)</f>
        <v>56139.759999999995</v>
      </c>
      <c r="G198" s="415">
        <f t="shared" si="163"/>
        <v>56139.759999999995</v>
      </c>
    </row>
    <row r="199" spans="1:7" s="435" customFormat="1" x14ac:dyDescent="0.25">
      <c r="A199" s="454" t="s">
        <v>494</v>
      </c>
      <c r="B199" s="357" t="s">
        <v>91</v>
      </c>
      <c r="C199" s="455">
        <v>52423.519999999997</v>
      </c>
      <c r="D199" s="455">
        <f t="shared" ref="D199" si="164">52423.52+3716.24</f>
        <v>56139.759999999995</v>
      </c>
      <c r="E199" s="455">
        <f>52423.52+3716.24</f>
        <v>56139.759999999995</v>
      </c>
      <c r="F199" s="455">
        <f>52423.52+3716.24</f>
        <v>56139.759999999995</v>
      </c>
      <c r="G199" s="455">
        <f>52423.52+3716.24</f>
        <v>56139.759999999995</v>
      </c>
    </row>
    <row r="200" spans="1:7" s="435" customFormat="1" hidden="1" x14ac:dyDescent="0.25">
      <c r="A200" s="452" t="s">
        <v>92</v>
      </c>
      <c r="B200" s="453" t="s">
        <v>93</v>
      </c>
      <c r="C200" s="456"/>
      <c r="D200" s="456"/>
      <c r="E200" s="456"/>
      <c r="F200" s="456"/>
      <c r="G200" s="456"/>
    </row>
    <row r="201" spans="1:7" s="435" customFormat="1" x14ac:dyDescent="0.25">
      <c r="A201" s="452" t="s">
        <v>94</v>
      </c>
      <c r="B201" s="453" t="s">
        <v>95</v>
      </c>
      <c r="C201" s="456"/>
      <c r="D201" s="456"/>
      <c r="E201" s="456"/>
      <c r="F201" s="456"/>
      <c r="G201" s="456"/>
    </row>
    <row r="202" spans="1:7" s="435" customFormat="1" x14ac:dyDescent="0.25">
      <c r="A202" s="452" t="s">
        <v>96</v>
      </c>
      <c r="B202" s="453" t="s">
        <v>212</v>
      </c>
      <c r="C202" s="456">
        <f t="shared" ref="C202:D202" si="165">SUM(C203)</f>
        <v>0</v>
      </c>
      <c r="D202" s="456">
        <f t="shared" si="165"/>
        <v>0</v>
      </c>
      <c r="E202" s="456">
        <f>SUM(E203)</f>
        <v>0</v>
      </c>
      <c r="F202" s="456">
        <f t="shared" ref="F202:G202" si="166">SUM(F203)</f>
        <v>0</v>
      </c>
      <c r="G202" s="456">
        <f t="shared" si="166"/>
        <v>0</v>
      </c>
    </row>
    <row r="203" spans="1:7" s="435" customFormat="1" x14ac:dyDescent="0.25">
      <c r="A203" s="454" t="s">
        <v>497</v>
      </c>
      <c r="B203" s="357" t="s">
        <v>212</v>
      </c>
      <c r="C203" s="455">
        <v>0</v>
      </c>
      <c r="D203" s="455">
        <v>0</v>
      </c>
      <c r="E203" s="455">
        <v>0</v>
      </c>
      <c r="F203" s="455">
        <v>0</v>
      </c>
      <c r="G203" s="455">
        <v>0</v>
      </c>
    </row>
    <row r="204" spans="1:7" s="434" customFormat="1" x14ac:dyDescent="0.25">
      <c r="A204" s="452" t="s">
        <v>98</v>
      </c>
      <c r="B204" s="453" t="s">
        <v>99</v>
      </c>
      <c r="C204" s="415">
        <f t="shared" ref="C204:D205" si="167">C205</f>
        <v>2400</v>
      </c>
      <c r="D204" s="415">
        <f t="shared" si="167"/>
        <v>3981.68</v>
      </c>
      <c r="E204" s="415">
        <f>E205</f>
        <v>3981.68</v>
      </c>
      <c r="F204" s="415">
        <f t="shared" ref="F204:G205" si="168">F205</f>
        <v>3981.68</v>
      </c>
      <c r="G204" s="415">
        <f t="shared" si="168"/>
        <v>3981.68</v>
      </c>
    </row>
    <row r="205" spans="1:7" s="434" customFormat="1" x14ac:dyDescent="0.25">
      <c r="A205" s="452" t="s">
        <v>100</v>
      </c>
      <c r="B205" s="453" t="s">
        <v>99</v>
      </c>
      <c r="C205" s="415">
        <f t="shared" si="167"/>
        <v>2400</v>
      </c>
      <c r="D205" s="415">
        <f t="shared" si="167"/>
        <v>3981.68</v>
      </c>
      <c r="E205" s="415">
        <f>E206</f>
        <v>3981.68</v>
      </c>
      <c r="F205" s="415">
        <f t="shared" si="168"/>
        <v>3981.68</v>
      </c>
      <c r="G205" s="415">
        <f t="shared" si="168"/>
        <v>3981.68</v>
      </c>
    </row>
    <row r="206" spans="1:7" s="435" customFormat="1" x14ac:dyDescent="0.25">
      <c r="A206" s="454" t="s">
        <v>503</v>
      </c>
      <c r="B206" s="357" t="s">
        <v>410</v>
      </c>
      <c r="C206" s="455">
        <v>2400</v>
      </c>
      <c r="D206" s="455">
        <v>3981.68</v>
      </c>
      <c r="E206" s="455">
        <v>3981.68</v>
      </c>
      <c r="F206" s="455">
        <v>3981.68</v>
      </c>
      <c r="G206" s="455">
        <v>3981.68</v>
      </c>
    </row>
    <row r="207" spans="1:7" s="434" customFormat="1" x14ac:dyDescent="0.25">
      <c r="A207" s="457">
        <v>313</v>
      </c>
      <c r="B207" s="453" t="s">
        <v>101</v>
      </c>
      <c r="C207" s="415">
        <f t="shared" ref="C207:D207" si="169">C208</f>
        <v>7806.76</v>
      </c>
      <c r="D207" s="415">
        <f t="shared" si="169"/>
        <v>7806.76</v>
      </c>
      <c r="E207" s="415">
        <f>E208</f>
        <v>7806.76</v>
      </c>
      <c r="F207" s="415">
        <f t="shared" ref="F207:G207" si="170">F208</f>
        <v>7806.76</v>
      </c>
      <c r="G207" s="415">
        <f t="shared" si="170"/>
        <v>7806.76</v>
      </c>
    </row>
    <row r="208" spans="1:7" s="434" customFormat="1" x14ac:dyDescent="0.25">
      <c r="A208" s="457">
        <v>3132</v>
      </c>
      <c r="B208" s="453" t="s">
        <v>102</v>
      </c>
      <c r="C208" s="415">
        <f t="shared" ref="C208:D208" si="171">SUM(C209)</f>
        <v>7806.76</v>
      </c>
      <c r="D208" s="415">
        <f t="shared" si="171"/>
        <v>7806.76</v>
      </c>
      <c r="E208" s="415">
        <f>SUM(E209)</f>
        <v>7806.76</v>
      </c>
      <c r="F208" s="415">
        <f t="shared" ref="F208:G208" si="172">SUM(F209)</f>
        <v>7806.76</v>
      </c>
      <c r="G208" s="415">
        <f t="shared" si="172"/>
        <v>7806.76</v>
      </c>
    </row>
    <row r="209" spans="1:7" s="435" customFormat="1" x14ac:dyDescent="0.25">
      <c r="A209" s="458" t="s">
        <v>504</v>
      </c>
      <c r="B209" s="357" t="s">
        <v>102</v>
      </c>
      <c r="C209" s="455">
        <v>7806.76</v>
      </c>
      <c r="D209" s="455">
        <v>7806.76</v>
      </c>
      <c r="E209" s="455">
        <v>7806.76</v>
      </c>
      <c r="F209" s="455">
        <v>7806.76</v>
      </c>
      <c r="G209" s="455">
        <v>7806.76</v>
      </c>
    </row>
    <row r="210" spans="1:7" s="434" customFormat="1" x14ac:dyDescent="0.25">
      <c r="A210" s="450">
        <v>32</v>
      </c>
      <c r="B210" s="451" t="s">
        <v>103</v>
      </c>
      <c r="C210" s="443">
        <f>C211+C219+C231+C247+C251</f>
        <v>77564.090000000011</v>
      </c>
      <c r="D210" s="443">
        <f t="shared" ref="D210:G210" si="173">D211+D219+D231+D247+D251</f>
        <v>95188.130000000019</v>
      </c>
      <c r="E210" s="443">
        <f t="shared" si="173"/>
        <v>95188.130000000019</v>
      </c>
      <c r="F210" s="443">
        <f t="shared" si="173"/>
        <v>95188.130000000019</v>
      </c>
      <c r="G210" s="443">
        <f t="shared" si="173"/>
        <v>95188.130000000019</v>
      </c>
    </row>
    <row r="211" spans="1:7" s="434" customFormat="1" x14ac:dyDescent="0.25">
      <c r="A211" s="452" t="s">
        <v>216</v>
      </c>
      <c r="B211" s="468" t="s">
        <v>104</v>
      </c>
      <c r="C211" s="415">
        <f t="shared" ref="C211:D211" si="174">C212+C214+C216+C218</f>
        <v>12311.04</v>
      </c>
      <c r="D211" s="415">
        <f t="shared" si="174"/>
        <v>14599.500000000002</v>
      </c>
      <c r="E211" s="415">
        <f>E212+E214+E216+E218</f>
        <v>14599.500000000002</v>
      </c>
      <c r="F211" s="415">
        <f t="shared" ref="F211:G211" si="175">F212+F214+F216+F218</f>
        <v>14599.500000000002</v>
      </c>
      <c r="G211" s="415">
        <f t="shared" si="175"/>
        <v>14599.500000000002</v>
      </c>
    </row>
    <row r="212" spans="1:7" s="434" customFormat="1" x14ac:dyDescent="0.25">
      <c r="A212" s="452" t="s">
        <v>105</v>
      </c>
      <c r="B212" s="468" t="s">
        <v>106</v>
      </c>
      <c r="C212" s="415">
        <f t="shared" ref="C212:D212" si="176">SUM(C213)</f>
        <v>463.61</v>
      </c>
      <c r="D212" s="415">
        <f t="shared" si="176"/>
        <v>663.61</v>
      </c>
      <c r="E212" s="415">
        <f>SUM(E213)</f>
        <v>663.61</v>
      </c>
      <c r="F212" s="415">
        <f t="shared" ref="F212:G212" si="177">SUM(F213)</f>
        <v>663.61</v>
      </c>
      <c r="G212" s="415">
        <f t="shared" si="177"/>
        <v>663.61</v>
      </c>
    </row>
    <row r="213" spans="1:7" s="435" customFormat="1" x14ac:dyDescent="0.25">
      <c r="A213" s="454" t="s">
        <v>524</v>
      </c>
      <c r="B213" s="477" t="s">
        <v>419</v>
      </c>
      <c r="C213" s="455">
        <v>463.61</v>
      </c>
      <c r="D213" s="455">
        <v>663.61</v>
      </c>
      <c r="E213" s="455">
        <v>663.61</v>
      </c>
      <c r="F213" s="455">
        <v>663.61</v>
      </c>
      <c r="G213" s="455">
        <v>663.61</v>
      </c>
    </row>
    <row r="214" spans="1:7" s="435" customFormat="1" x14ac:dyDescent="0.25">
      <c r="A214" s="452" t="s">
        <v>107</v>
      </c>
      <c r="B214" s="468" t="s">
        <v>108</v>
      </c>
      <c r="C214" s="456">
        <f t="shared" ref="C214:D214" si="178">SUM(C215)</f>
        <v>11383.82</v>
      </c>
      <c r="D214" s="456">
        <f t="shared" si="178"/>
        <v>13272.28</v>
      </c>
      <c r="E214" s="456">
        <f>SUM(E215)</f>
        <v>13272.28</v>
      </c>
      <c r="F214" s="456">
        <f t="shared" ref="F214:G214" si="179">SUM(F215)</f>
        <v>13272.28</v>
      </c>
      <c r="G214" s="456">
        <f t="shared" si="179"/>
        <v>13272.28</v>
      </c>
    </row>
    <row r="215" spans="1:7" s="435" customFormat="1" x14ac:dyDescent="0.25">
      <c r="A215" s="454" t="s">
        <v>505</v>
      </c>
      <c r="B215" s="477" t="s">
        <v>295</v>
      </c>
      <c r="C215" s="455">
        <v>11383.82</v>
      </c>
      <c r="D215" s="455">
        <v>13272.28</v>
      </c>
      <c r="E215" s="455">
        <v>13272.28</v>
      </c>
      <c r="F215" s="455">
        <v>13272.28</v>
      </c>
      <c r="G215" s="455">
        <v>13272.28</v>
      </c>
    </row>
    <row r="216" spans="1:7" s="435" customFormat="1" x14ac:dyDescent="0.25">
      <c r="A216" s="452" t="s">
        <v>109</v>
      </c>
      <c r="B216" s="468" t="s">
        <v>110</v>
      </c>
      <c r="C216" s="456">
        <f t="shared" ref="C216:D216" si="180">SUM(C217)</f>
        <v>463.61</v>
      </c>
      <c r="D216" s="456">
        <f t="shared" si="180"/>
        <v>663.61</v>
      </c>
      <c r="E216" s="456">
        <f>SUM(E217)</f>
        <v>663.61</v>
      </c>
      <c r="F216" s="456">
        <f t="shared" ref="F216:G216" si="181">SUM(F217)</f>
        <v>663.61</v>
      </c>
      <c r="G216" s="456">
        <f t="shared" si="181"/>
        <v>663.61</v>
      </c>
    </row>
    <row r="217" spans="1:7" s="435" customFormat="1" x14ac:dyDescent="0.25">
      <c r="A217" s="454" t="s">
        <v>525</v>
      </c>
      <c r="B217" s="477" t="s">
        <v>421</v>
      </c>
      <c r="C217" s="455">
        <v>463.61</v>
      </c>
      <c r="D217" s="455">
        <v>663.61</v>
      </c>
      <c r="E217" s="455">
        <v>663.61</v>
      </c>
      <c r="F217" s="455">
        <v>663.61</v>
      </c>
      <c r="G217" s="455">
        <v>663.61</v>
      </c>
    </row>
    <row r="218" spans="1:7" s="435" customFormat="1" hidden="1" x14ac:dyDescent="0.25">
      <c r="A218" s="452" t="s">
        <v>111</v>
      </c>
      <c r="B218" s="468" t="s">
        <v>112</v>
      </c>
      <c r="C218" s="456"/>
      <c r="D218" s="456"/>
      <c r="E218" s="456"/>
      <c r="F218" s="456"/>
      <c r="G218" s="456"/>
    </row>
    <row r="219" spans="1:7" s="436" customFormat="1" x14ac:dyDescent="0.25">
      <c r="A219" s="452" t="s">
        <v>113</v>
      </c>
      <c r="B219" s="453" t="s">
        <v>114</v>
      </c>
      <c r="C219" s="415">
        <f t="shared" ref="C219:D219" si="182">C220+C222+C225+C228+C229+C230</f>
        <v>49398.76</v>
      </c>
      <c r="D219" s="415">
        <f t="shared" si="182"/>
        <v>19444.55</v>
      </c>
      <c r="E219" s="415">
        <f>E220+E222+E225+E228+E229+E230</f>
        <v>19444.55</v>
      </c>
      <c r="F219" s="415">
        <f t="shared" ref="F219:G219" si="183">F220+F222+F225+F228+F229+F230</f>
        <v>19444.55</v>
      </c>
      <c r="G219" s="415">
        <f t="shared" si="183"/>
        <v>19444.55</v>
      </c>
    </row>
    <row r="220" spans="1:7" s="436" customFormat="1" x14ac:dyDescent="0.25">
      <c r="A220" s="452" t="s">
        <v>115</v>
      </c>
      <c r="B220" s="453" t="s">
        <v>116</v>
      </c>
      <c r="C220" s="415">
        <f t="shared" ref="C220:D220" si="184">SUM(C221)</f>
        <v>639.19000000000005</v>
      </c>
      <c r="D220" s="415">
        <f t="shared" si="184"/>
        <v>639.19000000000005</v>
      </c>
      <c r="E220" s="415">
        <f>SUM(E221)</f>
        <v>639.19000000000005</v>
      </c>
      <c r="F220" s="415">
        <f t="shared" ref="F220:G220" si="185">SUM(F221)</f>
        <v>639.19000000000005</v>
      </c>
      <c r="G220" s="415">
        <f t="shared" si="185"/>
        <v>639.19000000000005</v>
      </c>
    </row>
    <row r="221" spans="1:7" s="437" customFormat="1" x14ac:dyDescent="0.25">
      <c r="A221" s="454" t="s">
        <v>526</v>
      </c>
      <c r="B221" s="357" t="s">
        <v>116</v>
      </c>
      <c r="C221" s="455">
        <v>639.19000000000005</v>
      </c>
      <c r="D221" s="455">
        <v>639.19000000000005</v>
      </c>
      <c r="E221" s="455">
        <v>639.19000000000005</v>
      </c>
      <c r="F221" s="455">
        <v>639.19000000000005</v>
      </c>
      <c r="G221" s="455">
        <v>639.19000000000005</v>
      </c>
    </row>
    <row r="222" spans="1:7" s="437" customFormat="1" x14ac:dyDescent="0.25">
      <c r="A222" s="452" t="s">
        <v>117</v>
      </c>
      <c r="B222" s="453" t="s">
        <v>118</v>
      </c>
      <c r="C222" s="456">
        <f t="shared" ref="C222:D222" si="186">SUM(C223:C224)</f>
        <v>9954.2099999999991</v>
      </c>
      <c r="D222" s="456">
        <f t="shared" si="186"/>
        <v>0</v>
      </c>
      <c r="E222" s="456">
        <f>SUM(E223:E224)</f>
        <v>0</v>
      </c>
      <c r="F222" s="456">
        <f t="shared" ref="F222:G222" si="187">SUM(F223:F224)</f>
        <v>0</v>
      </c>
      <c r="G222" s="456">
        <f t="shared" si="187"/>
        <v>0</v>
      </c>
    </row>
    <row r="223" spans="1:7" s="437" customFormat="1" x14ac:dyDescent="0.25">
      <c r="A223" s="454" t="s">
        <v>507</v>
      </c>
      <c r="B223" s="357" t="s">
        <v>428</v>
      </c>
      <c r="C223" s="455">
        <v>7000</v>
      </c>
      <c r="D223" s="455">
        <v>0</v>
      </c>
      <c r="E223" s="455"/>
      <c r="F223" s="455"/>
      <c r="G223" s="455"/>
    </row>
    <row r="224" spans="1:7" x14ac:dyDescent="0.25">
      <c r="A224" s="454" t="s">
        <v>508</v>
      </c>
      <c r="B224" s="357" t="s">
        <v>429</v>
      </c>
      <c r="C224" s="455">
        <v>2954.21</v>
      </c>
      <c r="D224" s="455">
        <v>0</v>
      </c>
      <c r="E224" s="455"/>
      <c r="F224" s="455"/>
      <c r="G224" s="455"/>
    </row>
    <row r="225" spans="1:7" x14ac:dyDescent="0.25">
      <c r="A225" s="452" t="s">
        <v>119</v>
      </c>
      <c r="B225" s="453" t="s">
        <v>120</v>
      </c>
      <c r="C225" s="456">
        <f t="shared" ref="C225:G225" si="188">SUM(C226:C227)</f>
        <v>38805.360000000001</v>
      </c>
      <c r="D225" s="456">
        <f t="shared" si="188"/>
        <v>18805.36</v>
      </c>
      <c r="E225" s="456">
        <f t="shared" si="188"/>
        <v>18805.36</v>
      </c>
      <c r="F225" s="456">
        <f t="shared" si="188"/>
        <v>18805.36</v>
      </c>
      <c r="G225" s="456">
        <f t="shared" si="188"/>
        <v>18805.36</v>
      </c>
    </row>
    <row r="226" spans="1:7" x14ac:dyDescent="0.25">
      <c r="A226" s="454" t="s">
        <v>512</v>
      </c>
      <c r="B226" s="357" t="s">
        <v>434</v>
      </c>
      <c r="C226" s="455">
        <v>13500</v>
      </c>
      <c r="D226" s="455">
        <v>13500</v>
      </c>
      <c r="E226" s="455">
        <v>13500</v>
      </c>
      <c r="F226" s="455">
        <v>13500</v>
      </c>
      <c r="G226" s="455">
        <v>13500</v>
      </c>
    </row>
    <row r="227" spans="1:7" x14ac:dyDescent="0.25">
      <c r="A227" s="454" t="s">
        <v>513</v>
      </c>
      <c r="B227" s="357" t="s">
        <v>431</v>
      </c>
      <c r="C227" s="455">
        <f t="shared" ref="C227" si="189">38805.36-C226</f>
        <v>25305.360000000001</v>
      </c>
      <c r="D227" s="455">
        <v>5305.36</v>
      </c>
      <c r="E227" s="455">
        <v>5305.36</v>
      </c>
      <c r="F227" s="455">
        <v>5305.36</v>
      </c>
      <c r="G227" s="455">
        <v>5305.36</v>
      </c>
    </row>
    <row r="228" spans="1:7" hidden="1" x14ac:dyDescent="0.25">
      <c r="A228" s="452" t="s">
        <v>121</v>
      </c>
      <c r="B228" s="453" t="s">
        <v>332</v>
      </c>
      <c r="C228" s="478"/>
      <c r="D228" s="478"/>
      <c r="E228" s="478"/>
      <c r="F228" s="478"/>
      <c r="G228" s="478"/>
    </row>
    <row r="229" spans="1:7" hidden="1" x14ac:dyDescent="0.25">
      <c r="A229" s="452" t="s">
        <v>123</v>
      </c>
      <c r="B229" s="453" t="s">
        <v>124</v>
      </c>
      <c r="C229" s="456"/>
      <c r="D229" s="456"/>
      <c r="E229" s="456"/>
      <c r="F229" s="456"/>
      <c r="G229" s="456"/>
    </row>
    <row r="230" spans="1:7" hidden="1" x14ac:dyDescent="0.25">
      <c r="A230" s="452" t="s">
        <v>125</v>
      </c>
      <c r="B230" s="453" t="s">
        <v>333</v>
      </c>
      <c r="C230" s="456"/>
      <c r="D230" s="456"/>
      <c r="E230" s="456"/>
      <c r="F230" s="456"/>
      <c r="G230" s="456"/>
    </row>
    <row r="231" spans="1:7" s="416" customFormat="1" x14ac:dyDescent="0.25">
      <c r="A231" s="452" t="s">
        <v>127</v>
      </c>
      <c r="B231" s="453" t="s">
        <v>128</v>
      </c>
      <c r="C231" s="415">
        <f t="shared" ref="C231:D231" si="190">C232+C233+C237+C238+C239+C240+C242+C244+C245</f>
        <v>13199.83</v>
      </c>
      <c r="D231" s="415">
        <f t="shared" si="190"/>
        <v>28535.41</v>
      </c>
      <c r="E231" s="415">
        <f>E232+E233+E237+E238+E239+E240+E242+E244+E245</f>
        <v>28535.41</v>
      </c>
      <c r="F231" s="415">
        <f t="shared" ref="F231:G231" si="191">F232+F233+F237+F238+F239+F240+F242+F244+F245</f>
        <v>28535.41</v>
      </c>
      <c r="G231" s="415">
        <f t="shared" si="191"/>
        <v>28535.41</v>
      </c>
    </row>
    <row r="232" spans="1:7" hidden="1" x14ac:dyDescent="0.25">
      <c r="A232" s="452" t="s">
        <v>129</v>
      </c>
      <c r="B232" s="453" t="s">
        <v>130</v>
      </c>
      <c r="C232" s="456"/>
      <c r="D232" s="456"/>
      <c r="E232" s="456"/>
      <c r="F232" s="456"/>
      <c r="G232" s="456"/>
    </row>
    <row r="233" spans="1:7" x14ac:dyDescent="0.25">
      <c r="A233" s="452" t="s">
        <v>131</v>
      </c>
      <c r="B233" s="453" t="s">
        <v>132</v>
      </c>
      <c r="C233" s="456">
        <f t="shared" ref="C233:D233" si="192">SUM(C234:C236)</f>
        <v>3750</v>
      </c>
      <c r="D233" s="456">
        <f t="shared" si="192"/>
        <v>17917.580000000002</v>
      </c>
      <c r="E233" s="456">
        <f>SUM(E234:E236)</f>
        <v>17917.580000000002</v>
      </c>
      <c r="F233" s="456">
        <f t="shared" ref="F233:G233" si="193">SUM(F234:F236)</f>
        <v>17917.580000000002</v>
      </c>
      <c r="G233" s="456">
        <f t="shared" si="193"/>
        <v>17917.580000000002</v>
      </c>
    </row>
    <row r="234" spans="1:7" x14ac:dyDescent="0.25">
      <c r="A234" s="454">
        <v>32321</v>
      </c>
      <c r="B234" s="357" t="s">
        <v>442</v>
      </c>
      <c r="C234" s="455">
        <v>0</v>
      </c>
      <c r="D234" s="455">
        <v>11000</v>
      </c>
      <c r="E234" s="455">
        <v>11000</v>
      </c>
      <c r="F234" s="455">
        <v>11000</v>
      </c>
      <c r="G234" s="455">
        <v>11000</v>
      </c>
    </row>
    <row r="235" spans="1:7" x14ac:dyDescent="0.25">
      <c r="A235" s="454">
        <v>32322</v>
      </c>
      <c r="B235" s="357" t="s">
        <v>443</v>
      </c>
      <c r="C235" s="455">
        <v>3750</v>
      </c>
      <c r="D235" s="455">
        <v>3750</v>
      </c>
      <c r="E235" s="455">
        <v>3750</v>
      </c>
      <c r="F235" s="455">
        <v>3750</v>
      </c>
      <c r="G235" s="455">
        <v>3750</v>
      </c>
    </row>
    <row r="236" spans="1:7" x14ac:dyDescent="0.25">
      <c r="A236" s="454">
        <v>32323</v>
      </c>
      <c r="B236" s="357" t="s">
        <v>441</v>
      </c>
      <c r="C236" s="455">
        <v>0</v>
      </c>
      <c r="D236" s="455">
        <f t="shared" ref="D236" si="194">17917.58-D234-D235</f>
        <v>3167.5800000000017</v>
      </c>
      <c r="E236" s="455">
        <f>17917.58-E234-E235</f>
        <v>3167.5800000000017</v>
      </c>
      <c r="F236" s="455">
        <f>17917.58-F234-F235</f>
        <v>3167.5800000000017</v>
      </c>
      <c r="G236" s="455">
        <f>17917.58-G234-G235</f>
        <v>3167.5800000000017</v>
      </c>
    </row>
    <row r="237" spans="1:7" hidden="1" x14ac:dyDescent="0.25">
      <c r="A237" s="452" t="s">
        <v>133</v>
      </c>
      <c r="B237" s="453" t="s">
        <v>134</v>
      </c>
      <c r="C237" s="456"/>
      <c r="D237" s="456"/>
      <c r="E237" s="456"/>
      <c r="F237" s="456"/>
      <c r="G237" s="456"/>
    </row>
    <row r="238" spans="1:7" hidden="1" x14ac:dyDescent="0.25">
      <c r="A238" s="452" t="s">
        <v>135</v>
      </c>
      <c r="B238" s="453" t="s">
        <v>136</v>
      </c>
      <c r="C238" s="456"/>
      <c r="D238" s="456"/>
      <c r="E238" s="456"/>
      <c r="F238" s="456"/>
      <c r="G238" s="456"/>
    </row>
    <row r="239" spans="1:7" hidden="1" x14ac:dyDescent="0.25">
      <c r="A239" s="452" t="s">
        <v>217</v>
      </c>
      <c r="B239" s="453" t="s">
        <v>137</v>
      </c>
      <c r="C239" s="456"/>
      <c r="D239" s="456"/>
      <c r="E239" s="456"/>
      <c r="F239" s="456"/>
      <c r="G239" s="456"/>
    </row>
    <row r="240" spans="1:7" x14ac:dyDescent="0.25">
      <c r="A240" s="452" t="s">
        <v>218</v>
      </c>
      <c r="B240" s="453" t="s">
        <v>138</v>
      </c>
      <c r="C240" s="456">
        <f t="shared" ref="C240:D240" si="195">SUM(C241)</f>
        <v>2654.46</v>
      </c>
      <c r="D240" s="456">
        <f t="shared" si="195"/>
        <v>2654.46</v>
      </c>
      <c r="E240" s="456">
        <f>SUM(E241)</f>
        <v>2654.46</v>
      </c>
      <c r="F240" s="456">
        <f t="shared" ref="F240:G240" si="196">SUM(F241)</f>
        <v>2654.46</v>
      </c>
      <c r="G240" s="456">
        <f t="shared" si="196"/>
        <v>2654.46</v>
      </c>
    </row>
    <row r="241" spans="1:7" x14ac:dyDescent="0.25">
      <c r="A241" s="454" t="s">
        <v>527</v>
      </c>
      <c r="B241" s="357" t="s">
        <v>450</v>
      </c>
      <c r="C241" s="455">
        <v>2654.46</v>
      </c>
      <c r="D241" s="455">
        <v>2654.46</v>
      </c>
      <c r="E241" s="455">
        <v>2654.46</v>
      </c>
      <c r="F241" s="455">
        <v>2654.46</v>
      </c>
      <c r="G241" s="455">
        <v>2654.46</v>
      </c>
    </row>
    <row r="242" spans="1:7" x14ac:dyDescent="0.25">
      <c r="A242" s="452" t="s">
        <v>219</v>
      </c>
      <c r="B242" s="453" t="s">
        <v>139</v>
      </c>
      <c r="C242" s="456">
        <f t="shared" ref="C242:D242" si="197">SUM(C243)</f>
        <v>4645.3</v>
      </c>
      <c r="D242" s="456">
        <f t="shared" si="197"/>
        <v>4645.3</v>
      </c>
      <c r="E242" s="456">
        <f>SUM(E243)</f>
        <v>4645.3</v>
      </c>
      <c r="F242" s="456">
        <f t="shared" ref="F242:G242" si="198">SUM(F243)</f>
        <v>4645.3</v>
      </c>
      <c r="G242" s="456">
        <f t="shared" si="198"/>
        <v>4645.3</v>
      </c>
    </row>
    <row r="243" spans="1:7" x14ac:dyDescent="0.25">
      <c r="A243" s="454" t="s">
        <v>528</v>
      </c>
      <c r="B243" s="357" t="s">
        <v>451</v>
      </c>
      <c r="C243" s="455">
        <v>4645.3</v>
      </c>
      <c r="D243" s="455">
        <v>4645.3</v>
      </c>
      <c r="E243" s="455">
        <v>4645.3</v>
      </c>
      <c r="F243" s="455">
        <v>4645.3</v>
      </c>
      <c r="G243" s="455">
        <v>4645.3</v>
      </c>
    </row>
    <row r="244" spans="1:7" hidden="1" x14ac:dyDescent="0.25">
      <c r="A244" s="452" t="s">
        <v>140</v>
      </c>
      <c r="B244" s="453" t="s">
        <v>141</v>
      </c>
      <c r="C244" s="456"/>
      <c r="D244" s="456"/>
      <c r="E244" s="456"/>
      <c r="F244" s="456"/>
      <c r="G244" s="456"/>
    </row>
    <row r="245" spans="1:7" x14ac:dyDescent="0.25">
      <c r="A245" s="452" t="s">
        <v>142</v>
      </c>
      <c r="B245" s="453" t="s">
        <v>143</v>
      </c>
      <c r="C245" s="456">
        <f t="shared" ref="C245:D245" si="199">SUM(C246)</f>
        <v>2150.0700000000002</v>
      </c>
      <c r="D245" s="456">
        <f t="shared" si="199"/>
        <v>3318.07</v>
      </c>
      <c r="E245" s="456">
        <f>SUM(E246)</f>
        <v>3318.07</v>
      </c>
      <c r="F245" s="456">
        <f t="shared" ref="F245:G245" si="200">SUM(F246)</f>
        <v>3318.07</v>
      </c>
      <c r="G245" s="456">
        <f t="shared" si="200"/>
        <v>3318.07</v>
      </c>
    </row>
    <row r="246" spans="1:7" x14ac:dyDescent="0.25">
      <c r="A246" s="454" t="s">
        <v>529</v>
      </c>
      <c r="B246" s="357" t="s">
        <v>317</v>
      </c>
      <c r="C246" s="455">
        <v>2150.0700000000002</v>
      </c>
      <c r="D246" s="455">
        <v>3318.07</v>
      </c>
      <c r="E246" s="455">
        <v>3318.07</v>
      </c>
      <c r="F246" s="455">
        <v>3318.07</v>
      </c>
      <c r="G246" s="455">
        <v>3318.07</v>
      </c>
    </row>
    <row r="247" spans="1:7" s="416" customFormat="1" x14ac:dyDescent="0.25">
      <c r="A247" s="452" t="s">
        <v>594</v>
      </c>
      <c r="B247" s="461" t="s">
        <v>128</v>
      </c>
      <c r="C247" s="456">
        <f>C248</f>
        <v>0</v>
      </c>
      <c r="D247" s="456">
        <f t="shared" ref="D247:G247" si="201">D248</f>
        <v>29954.21</v>
      </c>
      <c r="E247" s="456">
        <f t="shared" si="201"/>
        <v>29954.21</v>
      </c>
      <c r="F247" s="456">
        <f t="shared" si="201"/>
        <v>29954.21</v>
      </c>
      <c r="G247" s="456">
        <f t="shared" si="201"/>
        <v>29954.21</v>
      </c>
    </row>
    <row r="248" spans="1:7" s="416" customFormat="1" x14ac:dyDescent="0.25">
      <c r="A248" s="452" t="s">
        <v>595</v>
      </c>
      <c r="B248" s="461" t="s">
        <v>143</v>
      </c>
      <c r="C248" s="456">
        <f>C249+C250</f>
        <v>0</v>
      </c>
      <c r="D248" s="456">
        <f t="shared" ref="D248:G248" si="202">D249+D250</f>
        <v>29954.21</v>
      </c>
      <c r="E248" s="456">
        <f t="shared" si="202"/>
        <v>29954.21</v>
      </c>
      <c r="F248" s="456">
        <f t="shared" si="202"/>
        <v>29954.21</v>
      </c>
      <c r="G248" s="456">
        <f t="shared" si="202"/>
        <v>29954.21</v>
      </c>
    </row>
    <row r="249" spans="1:7" x14ac:dyDescent="0.25">
      <c r="A249" s="454" t="s">
        <v>596</v>
      </c>
      <c r="B249" s="462" t="s">
        <v>598</v>
      </c>
      <c r="C249" s="455"/>
      <c r="D249" s="455">
        <v>7954.21</v>
      </c>
      <c r="E249" s="455">
        <v>7954.21</v>
      </c>
      <c r="F249" s="455">
        <v>7954.21</v>
      </c>
      <c r="G249" s="455">
        <v>7954.21</v>
      </c>
    </row>
    <row r="250" spans="1:7" x14ac:dyDescent="0.25">
      <c r="A250" s="454" t="s">
        <v>597</v>
      </c>
      <c r="B250" s="462" t="s">
        <v>599</v>
      </c>
      <c r="C250" s="455"/>
      <c r="D250" s="455">
        <v>22000</v>
      </c>
      <c r="E250" s="455">
        <v>22000</v>
      </c>
      <c r="F250" s="455">
        <v>22000</v>
      </c>
      <c r="G250" s="455">
        <v>22000</v>
      </c>
    </row>
    <row r="251" spans="1:7" s="416" customFormat="1" x14ac:dyDescent="0.25">
      <c r="A251" s="452" t="s">
        <v>220</v>
      </c>
      <c r="B251" s="453" t="s">
        <v>145</v>
      </c>
      <c r="C251" s="415">
        <f t="shared" ref="C251:D251" si="203">C252+C254+C255+C256+C257+C258+C259</f>
        <v>2654.46</v>
      </c>
      <c r="D251" s="415">
        <f t="shared" si="203"/>
        <v>2654.46</v>
      </c>
      <c r="E251" s="415">
        <f>E252+E254+E255+E256+E257+E258+E259</f>
        <v>2654.46</v>
      </c>
      <c r="F251" s="415">
        <f t="shared" ref="F251:G251" si="204">F252+F254+F255+F256+F257+F258+F259</f>
        <v>2654.46</v>
      </c>
      <c r="G251" s="415">
        <f t="shared" si="204"/>
        <v>2654.46</v>
      </c>
    </row>
    <row r="252" spans="1:7" s="416" customFormat="1" x14ac:dyDescent="0.25">
      <c r="A252" s="452" t="s">
        <v>232</v>
      </c>
      <c r="B252" s="453" t="s">
        <v>148</v>
      </c>
      <c r="C252" s="415">
        <f t="shared" ref="C252:D252" si="205">SUM(C253)</f>
        <v>2654.46</v>
      </c>
      <c r="D252" s="415">
        <f t="shared" si="205"/>
        <v>2654.46</v>
      </c>
      <c r="E252" s="415">
        <f>SUM(E253)</f>
        <v>2654.46</v>
      </c>
      <c r="F252" s="415">
        <f t="shared" ref="F252:G252" si="206">SUM(F253)</f>
        <v>2654.46</v>
      </c>
      <c r="G252" s="415">
        <f t="shared" si="206"/>
        <v>2654.46</v>
      </c>
    </row>
    <row r="253" spans="1:7" x14ac:dyDescent="0.25">
      <c r="A253" s="454" t="s">
        <v>530</v>
      </c>
      <c r="B253" s="357" t="s">
        <v>531</v>
      </c>
      <c r="C253" s="455">
        <v>2654.46</v>
      </c>
      <c r="D253" s="455">
        <v>2654.46</v>
      </c>
      <c r="E253" s="455">
        <v>2654.46</v>
      </c>
      <c r="F253" s="455">
        <v>2654.46</v>
      </c>
      <c r="G253" s="455">
        <v>2654.46</v>
      </c>
    </row>
    <row r="254" spans="1:7" hidden="1" x14ac:dyDescent="0.25">
      <c r="A254" s="452" t="s">
        <v>232</v>
      </c>
      <c r="B254" s="453" t="s">
        <v>148</v>
      </c>
      <c r="C254" s="479"/>
      <c r="D254" s="479"/>
      <c r="E254" s="479"/>
      <c r="F254" s="479"/>
      <c r="G254" s="479"/>
    </row>
    <row r="255" spans="1:7" hidden="1" x14ac:dyDescent="0.25">
      <c r="A255" s="452" t="s">
        <v>222</v>
      </c>
      <c r="B255" s="453" t="s">
        <v>149</v>
      </c>
      <c r="C255" s="479"/>
      <c r="D255" s="479"/>
      <c r="E255" s="479"/>
      <c r="F255" s="479"/>
      <c r="G255" s="479"/>
    </row>
    <row r="256" spans="1:7" hidden="1" x14ac:dyDescent="0.25">
      <c r="A256" s="452" t="s">
        <v>334</v>
      </c>
      <c r="B256" s="453" t="s">
        <v>150</v>
      </c>
      <c r="C256" s="479"/>
      <c r="D256" s="479"/>
      <c r="E256" s="479"/>
      <c r="F256" s="479"/>
      <c r="G256" s="479"/>
    </row>
    <row r="257" spans="1:7" hidden="1" x14ac:dyDescent="0.25">
      <c r="A257" s="452" t="s">
        <v>223</v>
      </c>
      <c r="B257" s="453" t="s">
        <v>151</v>
      </c>
      <c r="C257" s="479"/>
      <c r="D257" s="479"/>
      <c r="E257" s="479"/>
      <c r="F257" s="479"/>
      <c r="G257" s="479"/>
    </row>
    <row r="258" spans="1:7" hidden="1" x14ac:dyDescent="0.25">
      <c r="A258" s="452" t="s">
        <v>335</v>
      </c>
      <c r="B258" s="453" t="s">
        <v>152</v>
      </c>
      <c r="C258" s="479"/>
      <c r="D258" s="479"/>
      <c r="E258" s="479"/>
      <c r="F258" s="479"/>
      <c r="G258" s="479"/>
    </row>
    <row r="259" spans="1:7" hidden="1" x14ac:dyDescent="0.25">
      <c r="A259" s="452" t="s">
        <v>153</v>
      </c>
      <c r="B259" s="453" t="s">
        <v>145</v>
      </c>
      <c r="C259" s="478"/>
      <c r="D259" s="478"/>
      <c r="E259" s="478"/>
      <c r="F259" s="478"/>
      <c r="G259" s="478"/>
    </row>
    <row r="260" spans="1:7" hidden="1" x14ac:dyDescent="0.25">
      <c r="A260" s="480" t="s">
        <v>336</v>
      </c>
      <c r="B260" s="481" t="s">
        <v>154</v>
      </c>
      <c r="C260" s="443">
        <f t="shared" ref="C260:D260" si="207">C261</f>
        <v>0</v>
      </c>
      <c r="D260" s="443">
        <f t="shared" si="207"/>
        <v>0</v>
      </c>
      <c r="E260" s="443">
        <f>E261</f>
        <v>0</v>
      </c>
      <c r="F260" s="443">
        <f t="shared" ref="F260:G260" si="208">F261</f>
        <v>0</v>
      </c>
      <c r="G260" s="443">
        <f t="shared" si="208"/>
        <v>0</v>
      </c>
    </row>
    <row r="261" spans="1:7" s="416" customFormat="1" hidden="1" x14ac:dyDescent="0.25">
      <c r="A261" s="452" t="s">
        <v>337</v>
      </c>
      <c r="B261" s="453" t="s">
        <v>158</v>
      </c>
      <c r="C261" s="415">
        <f t="shared" ref="C261:D261" si="209">SUM(C262:C265)</f>
        <v>0</v>
      </c>
      <c r="D261" s="415">
        <f t="shared" si="209"/>
        <v>0</v>
      </c>
      <c r="E261" s="415">
        <f>SUM(E262:E265)</f>
        <v>0</v>
      </c>
      <c r="F261" s="415">
        <f t="shared" ref="F261:G261" si="210">SUM(F262:F265)</f>
        <v>0</v>
      </c>
      <c r="G261" s="415">
        <f t="shared" si="210"/>
        <v>0</v>
      </c>
    </row>
    <row r="262" spans="1:7" hidden="1" x14ac:dyDescent="0.25">
      <c r="A262" s="454" t="s">
        <v>156</v>
      </c>
      <c r="B262" s="357" t="s">
        <v>157</v>
      </c>
      <c r="C262" s="482"/>
      <c r="D262" s="482"/>
      <c r="E262" s="482"/>
      <c r="F262" s="482"/>
      <c r="G262" s="482"/>
    </row>
    <row r="263" spans="1:7" hidden="1" x14ac:dyDescent="0.25">
      <c r="A263" s="454" t="s">
        <v>338</v>
      </c>
      <c r="B263" s="357" t="s">
        <v>206</v>
      </c>
      <c r="C263" s="482"/>
      <c r="D263" s="482"/>
      <c r="E263" s="482"/>
      <c r="F263" s="482"/>
      <c r="G263" s="482"/>
    </row>
    <row r="264" spans="1:7" hidden="1" x14ac:dyDescent="0.25">
      <c r="A264" s="454" t="s">
        <v>339</v>
      </c>
      <c r="B264" s="357" t="s">
        <v>158</v>
      </c>
      <c r="C264" s="482"/>
      <c r="D264" s="482"/>
      <c r="E264" s="482"/>
      <c r="F264" s="482"/>
      <c r="G264" s="482"/>
    </row>
    <row r="265" spans="1:7" hidden="1" x14ac:dyDescent="0.25">
      <c r="A265" s="454" t="s">
        <v>340</v>
      </c>
      <c r="B265" s="357" t="s">
        <v>155</v>
      </c>
      <c r="C265" s="482"/>
      <c r="D265" s="482"/>
      <c r="E265" s="482"/>
      <c r="F265" s="482"/>
      <c r="G265" s="482"/>
    </row>
    <row r="266" spans="1:7" s="416" customFormat="1" hidden="1" x14ac:dyDescent="0.25">
      <c r="A266" s="480" t="s">
        <v>341</v>
      </c>
      <c r="B266" s="481" t="s">
        <v>329</v>
      </c>
      <c r="C266" s="443">
        <f t="shared" ref="C266:G267" si="211">C267</f>
        <v>0</v>
      </c>
      <c r="D266" s="443">
        <f t="shared" si="211"/>
        <v>0</v>
      </c>
      <c r="E266" s="443">
        <f t="shared" si="211"/>
        <v>0</v>
      </c>
      <c r="F266" s="443">
        <f t="shared" si="211"/>
        <v>0</v>
      </c>
      <c r="G266" s="443">
        <f t="shared" si="211"/>
        <v>0</v>
      </c>
    </row>
    <row r="267" spans="1:7" s="416" customFormat="1" hidden="1" x14ac:dyDescent="0.25">
      <c r="A267" s="452" t="s">
        <v>342</v>
      </c>
      <c r="B267" s="453" t="s">
        <v>164</v>
      </c>
      <c r="C267" s="415">
        <f t="shared" si="211"/>
        <v>0</v>
      </c>
      <c r="D267" s="415">
        <f t="shared" si="211"/>
        <v>0</v>
      </c>
      <c r="E267" s="415">
        <f t="shared" si="211"/>
        <v>0</v>
      </c>
      <c r="F267" s="415">
        <f t="shared" si="211"/>
        <v>0</v>
      </c>
      <c r="G267" s="415">
        <f t="shared" si="211"/>
        <v>0</v>
      </c>
    </row>
    <row r="268" spans="1:7" hidden="1" x14ac:dyDescent="0.25">
      <c r="A268" s="454" t="s">
        <v>343</v>
      </c>
      <c r="B268" s="357" t="s">
        <v>165</v>
      </c>
      <c r="C268" s="482"/>
      <c r="D268" s="482"/>
      <c r="E268" s="482"/>
      <c r="F268" s="482"/>
      <c r="G268" s="482"/>
    </row>
    <row r="269" spans="1:7" s="416" customFormat="1" hidden="1" x14ac:dyDescent="0.25">
      <c r="A269" s="480" t="s">
        <v>166</v>
      </c>
      <c r="B269" s="481" t="s">
        <v>99</v>
      </c>
      <c r="C269" s="443">
        <f t="shared" ref="C269:D269" si="212">C270+C272+C275</f>
        <v>0</v>
      </c>
      <c r="D269" s="443">
        <f t="shared" si="212"/>
        <v>0</v>
      </c>
      <c r="E269" s="443">
        <f>E270+E272+E275</f>
        <v>0</v>
      </c>
      <c r="F269" s="443">
        <f t="shared" ref="F269:G269" si="213">F270+F272+F275</f>
        <v>0</v>
      </c>
      <c r="G269" s="443">
        <f t="shared" si="213"/>
        <v>0</v>
      </c>
    </row>
    <row r="270" spans="1:7" s="416" customFormat="1" hidden="1" x14ac:dyDescent="0.25">
      <c r="A270" s="452" t="s">
        <v>167</v>
      </c>
      <c r="B270" s="453" t="s">
        <v>69</v>
      </c>
      <c r="C270" s="415">
        <f t="shared" ref="C270:D270" si="214">C271</f>
        <v>0</v>
      </c>
      <c r="D270" s="415">
        <f t="shared" si="214"/>
        <v>0</v>
      </c>
      <c r="E270" s="415">
        <f>E271</f>
        <v>0</v>
      </c>
      <c r="F270" s="415">
        <f t="shared" ref="F270:G270" si="215">F271</f>
        <v>0</v>
      </c>
      <c r="G270" s="415">
        <f t="shared" si="215"/>
        <v>0</v>
      </c>
    </row>
    <row r="271" spans="1:7" hidden="1" x14ac:dyDescent="0.25">
      <c r="A271" s="454" t="s">
        <v>169</v>
      </c>
      <c r="B271" s="357" t="s">
        <v>168</v>
      </c>
      <c r="C271" s="482"/>
      <c r="D271" s="482"/>
      <c r="E271" s="482"/>
      <c r="F271" s="482"/>
      <c r="G271" s="482"/>
    </row>
    <row r="272" spans="1:7" s="416" customFormat="1" hidden="1" x14ac:dyDescent="0.25">
      <c r="A272" s="452" t="s">
        <v>344</v>
      </c>
      <c r="B272" s="453" t="s">
        <v>170</v>
      </c>
      <c r="C272" s="415">
        <f t="shared" ref="C272:D272" si="216">SUM(C273:C274)</f>
        <v>0</v>
      </c>
      <c r="D272" s="415">
        <f t="shared" si="216"/>
        <v>0</v>
      </c>
      <c r="E272" s="415">
        <f>SUM(E273:E274)</f>
        <v>0</v>
      </c>
      <c r="F272" s="415">
        <f t="shared" ref="F272:G272" si="217">SUM(F273:F274)</f>
        <v>0</v>
      </c>
      <c r="G272" s="415">
        <f t="shared" si="217"/>
        <v>0</v>
      </c>
    </row>
    <row r="273" spans="1:7" hidden="1" x14ac:dyDescent="0.25">
      <c r="A273" s="454" t="s">
        <v>345</v>
      </c>
      <c r="B273" s="357" t="s">
        <v>346</v>
      </c>
      <c r="C273" s="483"/>
      <c r="D273" s="483"/>
      <c r="E273" s="483"/>
      <c r="F273" s="483"/>
      <c r="G273" s="483"/>
    </row>
    <row r="274" spans="1:7" hidden="1" x14ac:dyDescent="0.25">
      <c r="A274" s="454" t="s">
        <v>347</v>
      </c>
      <c r="B274" s="357" t="s">
        <v>174</v>
      </c>
      <c r="C274" s="482"/>
      <c r="D274" s="482"/>
      <c r="E274" s="482"/>
      <c r="F274" s="482"/>
      <c r="G274" s="482"/>
    </row>
    <row r="275" spans="1:7" s="416" customFormat="1" hidden="1" x14ac:dyDescent="0.25">
      <c r="A275" s="452" t="s">
        <v>348</v>
      </c>
      <c r="B275" s="453" t="s">
        <v>349</v>
      </c>
      <c r="C275" s="473">
        <f t="shared" ref="C275:D275" si="218">C276</f>
        <v>0</v>
      </c>
      <c r="D275" s="473">
        <f t="shared" si="218"/>
        <v>0</v>
      </c>
      <c r="E275" s="473">
        <f>E276</f>
        <v>0</v>
      </c>
      <c r="F275" s="473">
        <f t="shared" ref="F275:G275" si="219">F276</f>
        <v>0</v>
      </c>
      <c r="G275" s="473">
        <f t="shared" si="219"/>
        <v>0</v>
      </c>
    </row>
    <row r="276" spans="1:7" hidden="1" x14ac:dyDescent="0.25">
      <c r="A276" s="454" t="s">
        <v>350</v>
      </c>
      <c r="B276" s="357" t="s">
        <v>351</v>
      </c>
      <c r="C276" s="484"/>
      <c r="D276" s="484"/>
      <c r="E276" s="484"/>
      <c r="F276" s="484"/>
      <c r="G276" s="484"/>
    </row>
    <row r="277" spans="1:7" s="416" customFormat="1" hidden="1" x14ac:dyDescent="0.25">
      <c r="A277" s="485" t="s">
        <v>352</v>
      </c>
      <c r="B277" s="486" t="s">
        <v>175</v>
      </c>
      <c r="C277" s="426">
        <f t="shared" ref="C277:D277" si="220">C278+C281</f>
        <v>0</v>
      </c>
      <c r="D277" s="426">
        <f t="shared" si="220"/>
        <v>0</v>
      </c>
      <c r="E277" s="426">
        <f>E278+E281</f>
        <v>0</v>
      </c>
      <c r="F277" s="426">
        <f t="shared" ref="F277:G277" si="221">F278+F281</f>
        <v>0</v>
      </c>
      <c r="G277" s="426">
        <f t="shared" si="221"/>
        <v>0</v>
      </c>
    </row>
    <row r="278" spans="1:7" s="416" customFormat="1" hidden="1" x14ac:dyDescent="0.25">
      <c r="A278" s="480" t="s">
        <v>176</v>
      </c>
      <c r="B278" s="481" t="s">
        <v>177</v>
      </c>
      <c r="C278" s="443">
        <f t="shared" ref="C278:G279" si="222">C279</f>
        <v>0</v>
      </c>
      <c r="D278" s="443">
        <f t="shared" si="222"/>
        <v>0</v>
      </c>
      <c r="E278" s="443">
        <f t="shared" si="222"/>
        <v>0</v>
      </c>
      <c r="F278" s="443">
        <f t="shared" si="222"/>
        <v>0</v>
      </c>
      <c r="G278" s="443">
        <f t="shared" si="222"/>
        <v>0</v>
      </c>
    </row>
    <row r="279" spans="1:7" s="416" customFormat="1" hidden="1" x14ac:dyDescent="0.25">
      <c r="A279" s="452" t="s">
        <v>353</v>
      </c>
      <c r="B279" s="453" t="s">
        <v>182</v>
      </c>
      <c r="C279" s="415">
        <f t="shared" si="222"/>
        <v>0</v>
      </c>
      <c r="D279" s="415">
        <f t="shared" si="222"/>
        <v>0</v>
      </c>
      <c r="E279" s="415">
        <f t="shared" si="222"/>
        <v>0</v>
      </c>
      <c r="F279" s="415">
        <f t="shared" si="222"/>
        <v>0</v>
      </c>
      <c r="G279" s="415">
        <f t="shared" si="222"/>
        <v>0</v>
      </c>
    </row>
    <row r="280" spans="1:7" hidden="1" x14ac:dyDescent="0.25">
      <c r="A280" s="454" t="s">
        <v>354</v>
      </c>
      <c r="B280" s="357" t="s">
        <v>183</v>
      </c>
      <c r="C280" s="438"/>
      <c r="D280" s="438"/>
      <c r="E280" s="438"/>
      <c r="F280" s="438"/>
      <c r="G280" s="438"/>
    </row>
    <row r="281" spans="1:7" s="416" customFormat="1" hidden="1" x14ac:dyDescent="0.25">
      <c r="A281" s="480" t="s">
        <v>355</v>
      </c>
      <c r="B281" s="481" t="s">
        <v>184</v>
      </c>
      <c r="C281" s="443">
        <f t="shared" ref="C281:D281" si="223">C282+C284+C293</f>
        <v>0</v>
      </c>
      <c r="D281" s="443">
        <f t="shared" si="223"/>
        <v>0</v>
      </c>
      <c r="E281" s="443">
        <f>E282+E284+E293</f>
        <v>0</v>
      </c>
      <c r="F281" s="443">
        <f t="shared" ref="F281:G281" si="224">F282+F284+F293</f>
        <v>0</v>
      </c>
      <c r="G281" s="443">
        <f t="shared" si="224"/>
        <v>0</v>
      </c>
    </row>
    <row r="282" spans="1:7" s="416" customFormat="1" hidden="1" x14ac:dyDescent="0.25">
      <c r="A282" s="452" t="s">
        <v>207</v>
      </c>
      <c r="B282" s="453" t="s">
        <v>208</v>
      </c>
      <c r="C282" s="415">
        <f t="shared" ref="C282:D282" si="225">C283</f>
        <v>0</v>
      </c>
      <c r="D282" s="415">
        <f t="shared" si="225"/>
        <v>0</v>
      </c>
      <c r="E282" s="415">
        <f>E283</f>
        <v>0</v>
      </c>
      <c r="F282" s="415">
        <f t="shared" ref="F282:G282" si="226">F283</f>
        <v>0</v>
      </c>
      <c r="G282" s="415">
        <f t="shared" si="226"/>
        <v>0</v>
      </c>
    </row>
    <row r="283" spans="1:7" hidden="1" x14ac:dyDescent="0.25">
      <c r="A283" s="454" t="s">
        <v>209</v>
      </c>
      <c r="B283" s="357" t="s">
        <v>210</v>
      </c>
      <c r="C283" s="438"/>
      <c r="D283" s="438"/>
      <c r="E283" s="438"/>
      <c r="F283" s="438"/>
      <c r="G283" s="438"/>
    </row>
    <row r="284" spans="1:7" s="416" customFormat="1" hidden="1" x14ac:dyDescent="0.25">
      <c r="A284" s="452" t="s">
        <v>224</v>
      </c>
      <c r="B284" s="453" t="s">
        <v>185</v>
      </c>
      <c r="C284" s="415">
        <f t="shared" ref="C284:D284" si="227">SUM(C285:C290)</f>
        <v>0</v>
      </c>
      <c r="D284" s="415">
        <f t="shared" si="227"/>
        <v>0</v>
      </c>
      <c r="E284" s="415">
        <f>SUM(E285:E290)</f>
        <v>0</v>
      </c>
      <c r="F284" s="415">
        <f t="shared" ref="F284:G284" si="228">SUM(F285:F290)</f>
        <v>0</v>
      </c>
      <c r="G284" s="415">
        <f t="shared" si="228"/>
        <v>0</v>
      </c>
    </row>
    <row r="285" spans="1:7" hidden="1" x14ac:dyDescent="0.25">
      <c r="A285" s="454" t="s">
        <v>186</v>
      </c>
      <c r="B285" s="357" t="s">
        <v>187</v>
      </c>
      <c r="C285" s="482"/>
      <c r="D285" s="482"/>
      <c r="E285" s="482"/>
      <c r="F285" s="482"/>
      <c r="G285" s="482"/>
    </row>
    <row r="286" spans="1:7" hidden="1" x14ac:dyDescent="0.25">
      <c r="A286" s="454" t="s">
        <v>188</v>
      </c>
      <c r="B286" s="357" t="s">
        <v>189</v>
      </c>
      <c r="C286" s="482"/>
      <c r="D286" s="482"/>
      <c r="E286" s="482"/>
      <c r="F286" s="482"/>
      <c r="G286" s="482"/>
    </row>
    <row r="287" spans="1:7" hidden="1" x14ac:dyDescent="0.25">
      <c r="A287" s="454" t="s">
        <v>229</v>
      </c>
      <c r="B287" s="357" t="s">
        <v>190</v>
      </c>
      <c r="C287" s="483"/>
      <c r="D287" s="483"/>
      <c r="E287" s="483"/>
      <c r="F287" s="483"/>
      <c r="G287" s="483"/>
    </row>
    <row r="288" spans="1:7" hidden="1" x14ac:dyDescent="0.25">
      <c r="A288" s="454" t="s">
        <v>230</v>
      </c>
      <c r="B288" s="357" t="s">
        <v>191</v>
      </c>
      <c r="C288" s="483"/>
      <c r="D288" s="483"/>
      <c r="E288" s="483"/>
      <c r="F288" s="483"/>
      <c r="G288" s="483"/>
    </row>
    <row r="289" spans="1:7" hidden="1" x14ac:dyDescent="0.25">
      <c r="A289" s="454" t="s">
        <v>231</v>
      </c>
      <c r="B289" s="266" t="s">
        <v>192</v>
      </c>
      <c r="C289" s="483"/>
      <c r="D289" s="483"/>
      <c r="E289" s="483"/>
      <c r="F289" s="483"/>
      <c r="G289" s="483"/>
    </row>
    <row r="290" spans="1:7" hidden="1" x14ac:dyDescent="0.25">
      <c r="A290" s="454" t="s">
        <v>356</v>
      </c>
      <c r="B290" s="357" t="s">
        <v>193</v>
      </c>
      <c r="C290" s="483"/>
      <c r="D290" s="483"/>
      <c r="E290" s="483"/>
      <c r="F290" s="483"/>
      <c r="G290" s="483"/>
    </row>
    <row r="291" spans="1:7" hidden="1" x14ac:dyDescent="0.25">
      <c r="A291" s="452" t="s">
        <v>357</v>
      </c>
      <c r="B291" s="265" t="s">
        <v>194</v>
      </c>
      <c r="C291" s="165">
        <f t="shared" ref="C291:D291" si="229">C292</f>
        <v>0</v>
      </c>
      <c r="D291" s="165">
        <f t="shared" si="229"/>
        <v>0</v>
      </c>
      <c r="E291" s="165">
        <f>E292</f>
        <v>0</v>
      </c>
      <c r="F291" s="165">
        <f t="shared" ref="F291:G291" si="230">F292</f>
        <v>0</v>
      </c>
      <c r="G291" s="165">
        <f t="shared" si="230"/>
        <v>0</v>
      </c>
    </row>
    <row r="292" spans="1:7" hidden="1" x14ac:dyDescent="0.25">
      <c r="A292" s="454" t="s">
        <v>358</v>
      </c>
      <c r="B292" s="266" t="s">
        <v>194</v>
      </c>
      <c r="C292" s="483"/>
      <c r="D292" s="483"/>
      <c r="E292" s="483"/>
      <c r="F292" s="483"/>
      <c r="G292" s="483"/>
    </row>
    <row r="293" spans="1:7" s="416" customFormat="1" hidden="1" x14ac:dyDescent="0.25">
      <c r="A293" s="452" t="s">
        <v>233</v>
      </c>
      <c r="B293" s="453" t="s">
        <v>314</v>
      </c>
      <c r="C293" s="479">
        <f t="shared" ref="C293:D293" si="231">C294</f>
        <v>0</v>
      </c>
      <c r="D293" s="479">
        <f t="shared" si="231"/>
        <v>0</v>
      </c>
      <c r="E293" s="479">
        <f>E294</f>
        <v>0</v>
      </c>
      <c r="F293" s="479">
        <f t="shared" ref="F293:G293" si="232">F294</f>
        <v>0</v>
      </c>
      <c r="G293" s="479">
        <f t="shared" si="232"/>
        <v>0</v>
      </c>
    </row>
    <row r="294" spans="1:7" hidden="1" x14ac:dyDescent="0.25">
      <c r="A294" s="454" t="s">
        <v>234</v>
      </c>
      <c r="B294" s="357" t="s">
        <v>359</v>
      </c>
      <c r="C294" s="483"/>
      <c r="D294" s="483"/>
      <c r="E294" s="483"/>
      <c r="F294" s="483"/>
      <c r="G294" s="483"/>
    </row>
    <row r="295" spans="1:7" x14ac:dyDescent="0.25">
      <c r="A295" s="474">
        <v>52</v>
      </c>
      <c r="B295" s="475" t="s">
        <v>225</v>
      </c>
      <c r="C295" s="422">
        <f>C296+C322</f>
        <v>799.5</v>
      </c>
      <c r="D295" s="422">
        <f>D296+D322</f>
        <v>68314.61</v>
      </c>
      <c r="E295" s="422">
        <f>E296+E322</f>
        <v>68314.61</v>
      </c>
      <c r="F295" s="422">
        <f>F296+F322</f>
        <v>68314.61</v>
      </c>
      <c r="G295" s="422">
        <f>G296+G322</f>
        <v>68314.61</v>
      </c>
    </row>
    <row r="296" spans="1:7" s="416" customFormat="1" x14ac:dyDescent="0.25">
      <c r="A296" s="476" t="s">
        <v>87</v>
      </c>
      <c r="B296" s="425" t="s">
        <v>88</v>
      </c>
      <c r="C296" s="426">
        <f>C297+C308+C319</f>
        <v>799.5</v>
      </c>
      <c r="D296" s="426">
        <f>D297+D308+D319</f>
        <v>68314.61</v>
      </c>
      <c r="E296" s="426">
        <f>E297+E308+E319</f>
        <v>68314.61</v>
      </c>
      <c r="F296" s="426">
        <f>F297+F308+F319</f>
        <v>68314.61</v>
      </c>
      <c r="G296" s="426">
        <f>G297+G308+G319</f>
        <v>68314.61</v>
      </c>
    </row>
    <row r="297" spans="1:7" s="416" customFormat="1" x14ac:dyDescent="0.25">
      <c r="A297" s="450">
        <v>31</v>
      </c>
      <c r="B297" s="451" t="s">
        <v>89</v>
      </c>
      <c r="C297" s="443">
        <f t="shared" ref="C297:D297" si="233">C298+C303+C305</f>
        <v>0</v>
      </c>
      <c r="D297" s="443">
        <f t="shared" si="233"/>
        <v>68314.61</v>
      </c>
      <c r="E297" s="443">
        <f>E298+E303+E305</f>
        <v>68314.61</v>
      </c>
      <c r="F297" s="443">
        <f t="shared" ref="F297:G297" si="234">F298+F303+F305</f>
        <v>68314.61</v>
      </c>
      <c r="G297" s="443">
        <f t="shared" si="234"/>
        <v>68314.61</v>
      </c>
    </row>
    <row r="298" spans="1:7" s="413" customFormat="1" x14ac:dyDescent="0.25">
      <c r="A298" s="452">
        <v>311</v>
      </c>
      <c r="B298" s="453" t="s">
        <v>90</v>
      </c>
      <c r="C298" s="415">
        <f t="shared" ref="C298:D298" si="235">C299+C301+C302</f>
        <v>0</v>
      </c>
      <c r="D298" s="415">
        <f t="shared" si="235"/>
        <v>58639.15</v>
      </c>
      <c r="E298" s="415">
        <f>E299+E301+E302</f>
        <v>58639.15</v>
      </c>
      <c r="F298" s="415">
        <f t="shared" ref="F298:G298" si="236">F299+F301+F302</f>
        <v>58639.15</v>
      </c>
      <c r="G298" s="415">
        <f t="shared" si="236"/>
        <v>58639.15</v>
      </c>
    </row>
    <row r="299" spans="1:7" s="413" customFormat="1" x14ac:dyDescent="0.25">
      <c r="A299" s="452">
        <v>3111</v>
      </c>
      <c r="B299" s="453" t="s">
        <v>91</v>
      </c>
      <c r="C299" s="415">
        <f t="shared" ref="C299:D299" si="237">SUM(C300)</f>
        <v>0</v>
      </c>
      <c r="D299" s="415">
        <f t="shared" si="237"/>
        <v>58639.15</v>
      </c>
      <c r="E299" s="415">
        <f>SUM(E300)</f>
        <v>58639.15</v>
      </c>
      <c r="F299" s="415">
        <f t="shared" ref="F299:G299" si="238">SUM(F300)</f>
        <v>58639.15</v>
      </c>
      <c r="G299" s="415">
        <f t="shared" si="238"/>
        <v>58639.15</v>
      </c>
    </row>
    <row r="300" spans="1:7" x14ac:dyDescent="0.25">
      <c r="A300" s="454" t="s">
        <v>494</v>
      </c>
      <c r="B300" s="357" t="s">
        <v>91</v>
      </c>
      <c r="C300" s="438">
        <v>0</v>
      </c>
      <c r="D300" s="438">
        <v>58639.15</v>
      </c>
      <c r="E300" s="438">
        <v>58639.15</v>
      </c>
      <c r="F300" s="438">
        <v>58639.15</v>
      </c>
      <c r="G300" s="438">
        <v>58639.15</v>
      </c>
    </row>
    <row r="301" spans="1:7" hidden="1" x14ac:dyDescent="0.25">
      <c r="A301" s="454" t="s">
        <v>94</v>
      </c>
      <c r="B301" s="357" t="s">
        <v>95</v>
      </c>
      <c r="C301" s="438"/>
      <c r="D301" s="438"/>
      <c r="E301" s="438"/>
      <c r="F301" s="438"/>
      <c r="G301" s="438"/>
    </row>
    <row r="302" spans="1:7" hidden="1" x14ac:dyDescent="0.25">
      <c r="A302" s="454" t="s">
        <v>96</v>
      </c>
      <c r="B302" s="234" t="s">
        <v>212</v>
      </c>
      <c r="C302" s="438"/>
      <c r="D302" s="438"/>
      <c r="E302" s="438"/>
      <c r="F302" s="438"/>
      <c r="G302" s="438"/>
    </row>
    <row r="303" spans="1:7" s="416" customFormat="1" hidden="1" x14ac:dyDescent="0.25">
      <c r="A303" s="452" t="s">
        <v>98</v>
      </c>
      <c r="B303" s="453" t="s">
        <v>99</v>
      </c>
      <c r="C303" s="415">
        <f t="shared" ref="C303:D303" si="239">C304</f>
        <v>0</v>
      </c>
      <c r="D303" s="415">
        <f t="shared" si="239"/>
        <v>0</v>
      </c>
      <c r="E303" s="415">
        <f>E304</f>
        <v>0</v>
      </c>
      <c r="F303" s="415">
        <f t="shared" ref="F303:G303" si="240">F304</f>
        <v>0</v>
      </c>
      <c r="G303" s="415">
        <f t="shared" si="240"/>
        <v>0</v>
      </c>
    </row>
    <row r="304" spans="1:7" hidden="1" x14ac:dyDescent="0.25">
      <c r="A304" s="454" t="s">
        <v>100</v>
      </c>
      <c r="B304" s="357" t="s">
        <v>99</v>
      </c>
      <c r="C304" s="438"/>
      <c r="D304" s="438"/>
      <c r="E304" s="438"/>
      <c r="F304" s="438"/>
      <c r="G304" s="438"/>
    </row>
    <row r="305" spans="1:7" s="416" customFormat="1" x14ac:dyDescent="0.25">
      <c r="A305" s="452" t="s">
        <v>213</v>
      </c>
      <c r="B305" s="453" t="s">
        <v>101</v>
      </c>
      <c r="C305" s="415">
        <f t="shared" ref="C305:D305" si="241">C306</f>
        <v>0</v>
      </c>
      <c r="D305" s="415">
        <f t="shared" si="241"/>
        <v>9675.4599999999991</v>
      </c>
      <c r="E305" s="415">
        <f>E306</f>
        <v>9675.4599999999991</v>
      </c>
      <c r="F305" s="415">
        <f t="shared" ref="F305:G305" si="242">F306</f>
        <v>9675.4599999999991</v>
      </c>
      <c r="G305" s="415">
        <f t="shared" si="242"/>
        <v>9675.4599999999991</v>
      </c>
    </row>
    <row r="306" spans="1:7" s="416" customFormat="1" x14ac:dyDescent="0.25">
      <c r="A306" s="452" t="s">
        <v>214</v>
      </c>
      <c r="B306" s="453" t="s">
        <v>102</v>
      </c>
      <c r="C306" s="415">
        <f t="shared" ref="C306:D306" si="243">SUM(C307)</f>
        <v>0</v>
      </c>
      <c r="D306" s="415">
        <f t="shared" si="243"/>
        <v>9675.4599999999991</v>
      </c>
      <c r="E306" s="415">
        <f>SUM(E307)</f>
        <v>9675.4599999999991</v>
      </c>
      <c r="F306" s="415">
        <f t="shared" ref="F306:G306" si="244">SUM(F307)</f>
        <v>9675.4599999999991</v>
      </c>
      <c r="G306" s="415">
        <f t="shared" si="244"/>
        <v>9675.4599999999991</v>
      </c>
    </row>
    <row r="307" spans="1:7" x14ac:dyDescent="0.25">
      <c r="A307" s="454" t="s">
        <v>504</v>
      </c>
      <c r="B307" s="357" t="s">
        <v>102</v>
      </c>
      <c r="C307" s="438">
        <v>0</v>
      </c>
      <c r="D307" s="438">
        <v>9675.4599999999991</v>
      </c>
      <c r="E307" s="438">
        <v>9675.4599999999991</v>
      </c>
      <c r="F307" s="438">
        <v>9675.4599999999991</v>
      </c>
      <c r="G307" s="438">
        <v>9675.4599999999991</v>
      </c>
    </row>
    <row r="308" spans="1:7" s="416" customFormat="1" x14ac:dyDescent="0.25">
      <c r="A308" s="450">
        <v>32</v>
      </c>
      <c r="B308" s="451" t="s">
        <v>103</v>
      </c>
      <c r="C308" s="443">
        <f>C309+C313+C317</f>
        <v>799.5</v>
      </c>
      <c r="D308" s="443">
        <f t="shared" ref="D308:G308" si="245">D309+D313+D317</f>
        <v>0</v>
      </c>
      <c r="E308" s="443">
        <f t="shared" si="245"/>
        <v>0</v>
      </c>
      <c r="F308" s="443">
        <f t="shared" si="245"/>
        <v>0</v>
      </c>
      <c r="G308" s="443">
        <f t="shared" si="245"/>
        <v>0</v>
      </c>
    </row>
    <row r="309" spans="1:7" s="416" customFormat="1" hidden="1" x14ac:dyDescent="0.25">
      <c r="A309" s="452" t="s">
        <v>113</v>
      </c>
      <c r="B309" s="453" t="s">
        <v>114</v>
      </c>
      <c r="C309" s="415">
        <f t="shared" ref="C309:D309" si="246">C310+C311+C312</f>
        <v>0</v>
      </c>
      <c r="D309" s="415">
        <f t="shared" si="246"/>
        <v>0</v>
      </c>
      <c r="E309" s="415">
        <f>E310+E311+E312</f>
        <v>0</v>
      </c>
      <c r="F309" s="415">
        <f t="shared" ref="F309:G309" si="247">F310+F311+F312</f>
        <v>0</v>
      </c>
      <c r="G309" s="415">
        <f t="shared" si="247"/>
        <v>0</v>
      </c>
    </row>
    <row r="310" spans="1:7" hidden="1" x14ac:dyDescent="0.25">
      <c r="A310" s="454" t="s">
        <v>117</v>
      </c>
      <c r="B310" s="357" t="s">
        <v>118</v>
      </c>
      <c r="C310" s="438"/>
      <c r="D310" s="438"/>
      <c r="E310" s="438"/>
      <c r="F310" s="438"/>
      <c r="G310" s="438"/>
    </row>
    <row r="311" spans="1:7" hidden="1" x14ac:dyDescent="0.25">
      <c r="A311" s="454" t="s">
        <v>119</v>
      </c>
      <c r="B311" s="357" t="s">
        <v>120</v>
      </c>
      <c r="C311" s="438"/>
      <c r="D311" s="438"/>
      <c r="E311" s="438"/>
      <c r="F311" s="438"/>
      <c r="G311" s="438"/>
    </row>
    <row r="312" spans="1:7" hidden="1" x14ac:dyDescent="0.25">
      <c r="A312" s="454" t="s">
        <v>121</v>
      </c>
      <c r="B312" s="357" t="s">
        <v>332</v>
      </c>
      <c r="C312" s="438"/>
      <c r="D312" s="438"/>
      <c r="E312" s="438"/>
      <c r="F312" s="438"/>
      <c r="G312" s="438"/>
    </row>
    <row r="313" spans="1:7" s="416" customFormat="1" x14ac:dyDescent="0.25">
      <c r="A313" s="452" t="s">
        <v>127</v>
      </c>
      <c r="B313" s="453" t="s">
        <v>128</v>
      </c>
      <c r="C313" s="415">
        <f>C314</f>
        <v>70</v>
      </c>
      <c r="D313" s="415">
        <f t="shared" ref="D313:G314" si="248">D314</f>
        <v>0</v>
      </c>
      <c r="E313" s="415">
        <f t="shared" si="248"/>
        <v>0</v>
      </c>
      <c r="F313" s="415">
        <f t="shared" si="248"/>
        <v>0</v>
      </c>
      <c r="G313" s="415">
        <f t="shared" si="248"/>
        <v>0</v>
      </c>
    </row>
    <row r="314" spans="1:7" s="416" customFormat="1" x14ac:dyDescent="0.25">
      <c r="A314" s="452" t="s">
        <v>142</v>
      </c>
      <c r="B314" s="453" t="s">
        <v>143</v>
      </c>
      <c r="C314" s="415">
        <f>C315</f>
        <v>70</v>
      </c>
      <c r="D314" s="415">
        <f t="shared" si="248"/>
        <v>0</v>
      </c>
      <c r="E314" s="415">
        <f t="shared" si="248"/>
        <v>0</v>
      </c>
      <c r="F314" s="415">
        <f t="shared" si="248"/>
        <v>0</v>
      </c>
      <c r="G314" s="415">
        <f t="shared" si="248"/>
        <v>0</v>
      </c>
    </row>
    <row r="315" spans="1:7" x14ac:dyDescent="0.25">
      <c r="A315" s="454" t="s">
        <v>529</v>
      </c>
      <c r="B315" s="357" t="s">
        <v>317</v>
      </c>
      <c r="C315" s="438">
        <v>70</v>
      </c>
      <c r="D315" s="438"/>
      <c r="E315" s="438"/>
      <c r="F315" s="438"/>
      <c r="G315" s="438"/>
    </row>
    <row r="316" spans="1:7" x14ac:dyDescent="0.25">
      <c r="A316" s="452" t="s">
        <v>220</v>
      </c>
      <c r="B316" s="453" t="s">
        <v>145</v>
      </c>
      <c r="C316" s="438">
        <f>C317</f>
        <v>729.5</v>
      </c>
      <c r="D316" s="438"/>
      <c r="E316" s="438"/>
      <c r="F316" s="438"/>
      <c r="G316" s="438"/>
    </row>
    <row r="317" spans="1:7" s="416" customFormat="1" x14ac:dyDescent="0.25">
      <c r="A317" s="452" t="s">
        <v>222</v>
      </c>
      <c r="B317" s="453" t="s">
        <v>149</v>
      </c>
      <c r="C317" s="415">
        <f>C318</f>
        <v>729.5</v>
      </c>
      <c r="D317" s="415">
        <f t="shared" ref="D317:G317" si="249">D318</f>
        <v>0</v>
      </c>
      <c r="E317" s="415">
        <f t="shared" si="249"/>
        <v>0</v>
      </c>
      <c r="F317" s="415">
        <f t="shared" si="249"/>
        <v>0</v>
      </c>
      <c r="G317" s="415">
        <f t="shared" si="249"/>
        <v>0</v>
      </c>
    </row>
    <row r="318" spans="1:7" x14ac:dyDescent="0.25">
      <c r="A318" s="454" t="s">
        <v>584</v>
      </c>
      <c r="B318" s="357" t="s">
        <v>149</v>
      </c>
      <c r="C318" s="438">
        <v>729.5</v>
      </c>
      <c r="D318" s="438"/>
      <c r="E318" s="438"/>
      <c r="F318" s="438"/>
      <c r="G318" s="438"/>
    </row>
    <row r="319" spans="1:7" s="416" customFormat="1" hidden="1" x14ac:dyDescent="0.25">
      <c r="A319" s="452" t="s">
        <v>166</v>
      </c>
      <c r="B319" s="453" t="s">
        <v>351</v>
      </c>
      <c r="C319" s="415">
        <f t="shared" ref="C319:G320" si="250">C320</f>
        <v>0</v>
      </c>
      <c r="D319" s="415">
        <f t="shared" si="250"/>
        <v>0</v>
      </c>
      <c r="E319" s="415">
        <f t="shared" si="250"/>
        <v>0</v>
      </c>
      <c r="F319" s="415">
        <f t="shared" si="250"/>
        <v>0</v>
      </c>
      <c r="G319" s="415">
        <f t="shared" si="250"/>
        <v>0</v>
      </c>
    </row>
    <row r="320" spans="1:7" s="416" customFormat="1" hidden="1" x14ac:dyDescent="0.25">
      <c r="A320" s="452" t="s">
        <v>344</v>
      </c>
      <c r="B320" s="453" t="s">
        <v>170</v>
      </c>
      <c r="C320" s="415">
        <f t="shared" si="250"/>
        <v>0</v>
      </c>
      <c r="D320" s="415">
        <f t="shared" si="250"/>
        <v>0</v>
      </c>
      <c r="E320" s="415">
        <f t="shared" si="250"/>
        <v>0</v>
      </c>
      <c r="F320" s="415">
        <f t="shared" si="250"/>
        <v>0</v>
      </c>
      <c r="G320" s="415">
        <f t="shared" si="250"/>
        <v>0</v>
      </c>
    </row>
    <row r="321" spans="1:7" hidden="1" x14ac:dyDescent="0.25">
      <c r="A321" s="454" t="s">
        <v>360</v>
      </c>
      <c r="B321" s="357" t="s">
        <v>361</v>
      </c>
      <c r="C321" s="438"/>
      <c r="D321" s="438"/>
      <c r="E321" s="438"/>
      <c r="F321" s="438"/>
      <c r="G321" s="438"/>
    </row>
    <row r="322" spans="1:7" hidden="1" x14ac:dyDescent="0.25">
      <c r="A322" s="487" t="s">
        <v>352</v>
      </c>
      <c r="B322" s="425" t="s">
        <v>175</v>
      </c>
      <c r="C322" s="426">
        <f t="shared" ref="C322:D322" si="251">C323+C328</f>
        <v>0</v>
      </c>
      <c r="D322" s="426">
        <f t="shared" si="251"/>
        <v>0</v>
      </c>
      <c r="E322" s="426">
        <f>E323+E328</f>
        <v>0</v>
      </c>
      <c r="F322" s="426">
        <f t="shared" ref="F322:G322" si="252">F323+F328</f>
        <v>0</v>
      </c>
      <c r="G322" s="426">
        <f t="shared" si="252"/>
        <v>0</v>
      </c>
    </row>
    <row r="323" spans="1:7" hidden="1" x14ac:dyDescent="0.25">
      <c r="A323" s="480" t="s">
        <v>197</v>
      </c>
      <c r="B323" s="451" t="s">
        <v>198</v>
      </c>
      <c r="C323" s="443">
        <f t="shared" ref="C323:D323" si="253">C324</f>
        <v>0</v>
      </c>
      <c r="D323" s="443">
        <f t="shared" si="253"/>
        <v>0</v>
      </c>
      <c r="E323" s="443">
        <f>E324</f>
        <v>0</v>
      </c>
      <c r="F323" s="443">
        <f t="shared" ref="F323:G323" si="254">F324</f>
        <v>0</v>
      </c>
      <c r="G323" s="443">
        <f t="shared" si="254"/>
        <v>0</v>
      </c>
    </row>
    <row r="324" spans="1:7" hidden="1" x14ac:dyDescent="0.25">
      <c r="A324" s="452" t="s">
        <v>199</v>
      </c>
      <c r="B324" s="468" t="s">
        <v>200</v>
      </c>
      <c r="C324" s="415">
        <f t="shared" ref="C324:D324" si="255">C325+C326+C327</f>
        <v>0</v>
      </c>
      <c r="D324" s="415">
        <f t="shared" si="255"/>
        <v>0</v>
      </c>
      <c r="E324" s="415">
        <f>E325+E326+E327</f>
        <v>0</v>
      </c>
      <c r="F324" s="415">
        <f t="shared" ref="F324:G324" si="256">F325+F326+F327</f>
        <v>0</v>
      </c>
      <c r="G324" s="415">
        <f t="shared" si="256"/>
        <v>0</v>
      </c>
    </row>
    <row r="325" spans="1:7" hidden="1" x14ac:dyDescent="0.25">
      <c r="A325" s="454" t="s">
        <v>201</v>
      </c>
      <c r="B325" s="477" t="s">
        <v>200</v>
      </c>
      <c r="C325" s="438"/>
      <c r="D325" s="438"/>
      <c r="E325" s="438"/>
      <c r="F325" s="438"/>
      <c r="G325" s="438"/>
    </row>
    <row r="326" spans="1:7" hidden="1" x14ac:dyDescent="0.25">
      <c r="A326" s="454" t="s">
        <v>230</v>
      </c>
      <c r="B326" s="477" t="s">
        <v>191</v>
      </c>
      <c r="C326" s="438"/>
      <c r="D326" s="438"/>
      <c r="E326" s="438"/>
      <c r="F326" s="438"/>
      <c r="G326" s="438"/>
    </row>
    <row r="327" spans="1:7" hidden="1" x14ac:dyDescent="0.25">
      <c r="A327" s="454" t="s">
        <v>356</v>
      </c>
      <c r="B327" s="477" t="s">
        <v>193</v>
      </c>
      <c r="C327" s="438"/>
      <c r="D327" s="438"/>
      <c r="E327" s="438"/>
      <c r="F327" s="438"/>
      <c r="G327" s="438"/>
    </row>
    <row r="328" spans="1:7" s="416" customFormat="1" hidden="1" x14ac:dyDescent="0.25">
      <c r="A328" s="450" t="s">
        <v>197</v>
      </c>
      <c r="B328" s="469" t="s">
        <v>198</v>
      </c>
      <c r="C328" s="443">
        <f t="shared" ref="C328:D328" si="257">C329</f>
        <v>0</v>
      </c>
      <c r="D328" s="443">
        <f t="shared" si="257"/>
        <v>0</v>
      </c>
      <c r="E328" s="443">
        <f>E329</f>
        <v>0</v>
      </c>
      <c r="F328" s="443">
        <f t="shared" ref="F328:G328" si="258">F329</f>
        <v>0</v>
      </c>
      <c r="G328" s="443">
        <f t="shared" si="258"/>
        <v>0</v>
      </c>
    </row>
    <row r="329" spans="1:7" hidden="1" x14ac:dyDescent="0.25">
      <c r="A329" s="452" t="s">
        <v>199</v>
      </c>
      <c r="B329" s="453" t="s">
        <v>200</v>
      </c>
      <c r="C329" s="415"/>
      <c r="D329" s="415"/>
      <c r="E329" s="415"/>
      <c r="F329" s="415"/>
      <c r="G329" s="415"/>
    </row>
    <row r="330" spans="1:7" hidden="1" x14ac:dyDescent="0.25">
      <c r="A330" s="454" t="s">
        <v>201</v>
      </c>
      <c r="B330" s="357" t="s">
        <v>200</v>
      </c>
      <c r="C330" s="438"/>
      <c r="D330" s="438"/>
      <c r="E330" s="438"/>
      <c r="F330" s="438"/>
      <c r="G330" s="438"/>
    </row>
    <row r="331" spans="1:7" s="416" customFormat="1" hidden="1" x14ac:dyDescent="0.25">
      <c r="A331" s="474">
        <v>52</v>
      </c>
      <c r="B331" s="475" t="s">
        <v>228</v>
      </c>
      <c r="C331" s="422"/>
      <c r="D331" s="422"/>
      <c r="E331" s="422"/>
      <c r="F331" s="422"/>
      <c r="G331" s="422"/>
    </row>
    <row r="332" spans="1:7" s="416" customFormat="1" hidden="1" x14ac:dyDescent="0.25">
      <c r="A332" s="476" t="s">
        <v>87</v>
      </c>
      <c r="B332" s="425" t="s">
        <v>88</v>
      </c>
      <c r="C332" s="426"/>
      <c r="D332" s="426"/>
      <c r="E332" s="426"/>
      <c r="F332" s="426"/>
      <c r="G332" s="426"/>
    </row>
    <row r="333" spans="1:7" s="416" customFormat="1" hidden="1" x14ac:dyDescent="0.25">
      <c r="A333" s="450">
        <v>31</v>
      </c>
      <c r="B333" s="451" t="s">
        <v>89</v>
      </c>
      <c r="C333" s="443"/>
      <c r="D333" s="443"/>
      <c r="E333" s="443"/>
      <c r="F333" s="443"/>
      <c r="G333" s="443"/>
    </row>
    <row r="334" spans="1:7" s="416" customFormat="1" hidden="1" x14ac:dyDescent="0.25">
      <c r="A334" s="452">
        <v>311</v>
      </c>
      <c r="B334" s="453" t="s">
        <v>90</v>
      </c>
      <c r="C334" s="415"/>
      <c r="D334" s="415"/>
      <c r="E334" s="415"/>
      <c r="F334" s="415"/>
      <c r="G334" s="415"/>
    </row>
    <row r="335" spans="1:7" hidden="1" x14ac:dyDescent="0.25">
      <c r="A335" s="454">
        <v>3111</v>
      </c>
      <c r="B335" s="357" t="s">
        <v>91</v>
      </c>
      <c r="C335" s="438"/>
      <c r="D335" s="438"/>
      <c r="E335" s="438"/>
      <c r="F335" s="438"/>
      <c r="G335" s="438"/>
    </row>
    <row r="336" spans="1:7" s="416" customFormat="1" hidden="1" x14ac:dyDescent="0.25">
      <c r="A336" s="452" t="s">
        <v>213</v>
      </c>
      <c r="B336" s="453" t="s">
        <v>101</v>
      </c>
      <c r="C336" s="415"/>
      <c r="D336" s="415"/>
      <c r="E336" s="415"/>
      <c r="F336" s="415"/>
      <c r="G336" s="415"/>
    </row>
    <row r="337" spans="1:8" hidden="1" x14ac:dyDescent="0.25">
      <c r="A337" s="454" t="s">
        <v>214</v>
      </c>
      <c r="B337" s="357" t="s">
        <v>102</v>
      </c>
      <c r="C337" s="438"/>
      <c r="D337" s="438"/>
      <c r="E337" s="438"/>
      <c r="F337" s="438"/>
      <c r="G337" s="438"/>
    </row>
    <row r="338" spans="1:8" x14ac:dyDescent="0.25">
      <c r="A338" s="474" t="s">
        <v>72</v>
      </c>
      <c r="B338" s="475" t="s">
        <v>73</v>
      </c>
      <c r="C338" s="422">
        <f t="shared" ref="C338:D338" si="259">C339+C348</f>
        <v>3957.25</v>
      </c>
      <c r="D338" s="422">
        <f t="shared" si="259"/>
        <v>1000</v>
      </c>
      <c r="E338" s="422">
        <f>E339+E348</f>
        <v>1000</v>
      </c>
      <c r="F338" s="422">
        <f t="shared" ref="F338:G338" si="260">F339+F348</f>
        <v>1200</v>
      </c>
      <c r="G338" s="422">
        <f t="shared" si="260"/>
        <v>1400</v>
      </c>
    </row>
    <row r="339" spans="1:8" s="416" customFormat="1" x14ac:dyDescent="0.25">
      <c r="A339" s="476" t="s">
        <v>87</v>
      </c>
      <c r="B339" s="425" t="s">
        <v>88</v>
      </c>
      <c r="C339" s="426">
        <f t="shared" ref="C339:D339" si="261">C340</f>
        <v>3957.25</v>
      </c>
      <c r="D339" s="426">
        <f t="shared" si="261"/>
        <v>1000</v>
      </c>
      <c r="E339" s="426">
        <f>E340</f>
        <v>1000</v>
      </c>
      <c r="F339" s="426">
        <f t="shared" ref="F339:G339" si="262">F340</f>
        <v>1200</v>
      </c>
      <c r="G339" s="426">
        <f t="shared" si="262"/>
        <v>1400</v>
      </c>
    </row>
    <row r="340" spans="1:8" s="416" customFormat="1" x14ac:dyDescent="0.25">
      <c r="A340" s="450">
        <v>32</v>
      </c>
      <c r="B340" s="451" t="s">
        <v>103</v>
      </c>
      <c r="C340" s="443">
        <f t="shared" ref="C340:D340" si="263">C341+C346</f>
        <v>3957.25</v>
      </c>
      <c r="D340" s="443">
        <f t="shared" si="263"/>
        <v>1000</v>
      </c>
      <c r="E340" s="443">
        <f>E341+E346</f>
        <v>1000</v>
      </c>
      <c r="F340" s="443">
        <f t="shared" ref="F340:G340" si="264">F341+F346</f>
        <v>1200</v>
      </c>
      <c r="G340" s="443">
        <f t="shared" si="264"/>
        <v>1400</v>
      </c>
    </row>
    <row r="341" spans="1:8" s="413" customFormat="1" x14ac:dyDescent="0.25">
      <c r="A341" s="452">
        <v>321</v>
      </c>
      <c r="B341" s="453" t="s">
        <v>104</v>
      </c>
      <c r="C341" s="415">
        <f t="shared" ref="C341:D341" si="265">C342+C345</f>
        <v>3957.25</v>
      </c>
      <c r="D341" s="415">
        <f t="shared" si="265"/>
        <v>1000</v>
      </c>
      <c r="E341" s="415">
        <f>E342+E345</f>
        <v>1000</v>
      </c>
      <c r="F341" s="415">
        <f t="shared" ref="F341:G341" si="266">F342+F345</f>
        <v>1200</v>
      </c>
      <c r="G341" s="415">
        <f t="shared" si="266"/>
        <v>1400</v>
      </c>
    </row>
    <row r="342" spans="1:8" s="413" customFormat="1" x14ac:dyDescent="0.25">
      <c r="A342" s="452" t="s">
        <v>105</v>
      </c>
      <c r="B342" s="453" t="s">
        <v>106</v>
      </c>
      <c r="C342" s="415">
        <f t="shared" ref="C342:D342" si="267">SUM(C343:C344)</f>
        <v>3957.25</v>
      </c>
      <c r="D342" s="415">
        <f t="shared" si="267"/>
        <v>1000</v>
      </c>
      <c r="E342" s="415">
        <f>SUM(E343:E344)</f>
        <v>1000</v>
      </c>
      <c r="F342" s="415">
        <f t="shared" ref="F342:G342" si="268">SUM(F343:F344)</f>
        <v>1200</v>
      </c>
      <c r="G342" s="415">
        <f t="shared" si="268"/>
        <v>1400</v>
      </c>
    </row>
    <row r="343" spans="1:8" s="413" customFormat="1" x14ac:dyDescent="0.25">
      <c r="A343" s="454" t="s">
        <v>535</v>
      </c>
      <c r="B343" s="357" t="s">
        <v>416</v>
      </c>
      <c r="C343" s="438">
        <v>2957.25</v>
      </c>
      <c r="D343" s="438">
        <v>500</v>
      </c>
      <c r="E343" s="438">
        <v>500</v>
      </c>
      <c r="F343" s="438">
        <v>600</v>
      </c>
      <c r="G343" s="438">
        <v>700</v>
      </c>
      <c r="H343" s="532"/>
    </row>
    <row r="344" spans="1:8" s="429" customFormat="1" x14ac:dyDescent="0.25">
      <c r="A344" s="454" t="s">
        <v>524</v>
      </c>
      <c r="B344" s="357" t="s">
        <v>419</v>
      </c>
      <c r="C344" s="438">
        <v>1000</v>
      </c>
      <c r="D344" s="438">
        <v>500</v>
      </c>
      <c r="E344" s="438">
        <v>500</v>
      </c>
      <c r="F344" s="438">
        <v>600</v>
      </c>
      <c r="G344" s="438">
        <v>700</v>
      </c>
    </row>
    <row r="345" spans="1:8" hidden="1" x14ac:dyDescent="0.25">
      <c r="A345" s="452" t="s">
        <v>109</v>
      </c>
      <c r="B345" s="453" t="s">
        <v>110</v>
      </c>
      <c r="C345" s="415"/>
      <c r="D345" s="415"/>
      <c r="E345" s="415"/>
      <c r="F345" s="415"/>
      <c r="G345" s="415"/>
    </row>
    <row r="346" spans="1:8" s="416" customFormat="1" hidden="1" x14ac:dyDescent="0.25">
      <c r="A346" s="452" t="s">
        <v>113</v>
      </c>
      <c r="B346" s="453" t="s">
        <v>114</v>
      </c>
      <c r="C346" s="415">
        <f t="shared" ref="C346:D346" si="269">C347</f>
        <v>0</v>
      </c>
      <c r="D346" s="415">
        <f t="shared" si="269"/>
        <v>0</v>
      </c>
      <c r="E346" s="415">
        <f>E347</f>
        <v>0</v>
      </c>
      <c r="F346" s="415">
        <f t="shared" ref="F346:G346" si="270">F347</f>
        <v>0</v>
      </c>
      <c r="G346" s="415">
        <f t="shared" si="270"/>
        <v>0</v>
      </c>
    </row>
    <row r="347" spans="1:8" hidden="1" x14ac:dyDescent="0.25">
      <c r="A347" s="452" t="s">
        <v>117</v>
      </c>
      <c r="B347" s="453" t="s">
        <v>118</v>
      </c>
      <c r="C347" s="415"/>
      <c r="D347" s="415"/>
      <c r="E347" s="415"/>
      <c r="F347" s="415"/>
      <c r="G347" s="415"/>
    </row>
    <row r="348" spans="1:8" hidden="1" x14ac:dyDescent="0.25">
      <c r="A348" s="487" t="s">
        <v>352</v>
      </c>
      <c r="B348" s="425" t="s">
        <v>175</v>
      </c>
      <c r="C348" s="426">
        <f t="shared" ref="C348:G349" si="271">C349</f>
        <v>0</v>
      </c>
      <c r="D348" s="426">
        <f t="shared" si="271"/>
        <v>0</v>
      </c>
      <c r="E348" s="426">
        <f t="shared" si="271"/>
        <v>0</v>
      </c>
      <c r="F348" s="426">
        <f t="shared" si="271"/>
        <v>0</v>
      </c>
      <c r="G348" s="426">
        <f t="shared" si="271"/>
        <v>0</v>
      </c>
    </row>
    <row r="349" spans="1:8" s="416" customFormat="1" hidden="1" x14ac:dyDescent="0.25">
      <c r="A349" s="450">
        <v>42</v>
      </c>
      <c r="B349" s="451" t="s">
        <v>184</v>
      </c>
      <c r="C349" s="443">
        <f t="shared" si="271"/>
        <v>0</v>
      </c>
      <c r="D349" s="443">
        <f t="shared" si="271"/>
        <v>0</v>
      </c>
      <c r="E349" s="443">
        <f t="shared" si="271"/>
        <v>0</v>
      </c>
      <c r="F349" s="443">
        <f t="shared" si="271"/>
        <v>0</v>
      </c>
      <c r="G349" s="443">
        <f t="shared" si="271"/>
        <v>0</v>
      </c>
    </row>
    <row r="350" spans="1:8" s="416" customFormat="1" hidden="1" x14ac:dyDescent="0.25">
      <c r="A350" s="452">
        <v>422</v>
      </c>
      <c r="B350" s="453" t="s">
        <v>185</v>
      </c>
      <c r="C350" s="415">
        <f t="shared" ref="C350:D350" si="272">SUM(C351:C353)</f>
        <v>0</v>
      </c>
      <c r="D350" s="415">
        <f t="shared" si="272"/>
        <v>0</v>
      </c>
      <c r="E350" s="415">
        <f>SUM(E351:E353)</f>
        <v>0</v>
      </c>
      <c r="F350" s="415">
        <f t="shared" ref="F350:G350" si="273">SUM(F351:F353)</f>
        <v>0</v>
      </c>
      <c r="G350" s="415">
        <f t="shared" si="273"/>
        <v>0</v>
      </c>
    </row>
    <row r="351" spans="1:8" s="429" customFormat="1" hidden="1" x14ac:dyDescent="0.25">
      <c r="A351" s="454" t="s">
        <v>186</v>
      </c>
      <c r="B351" s="357" t="s">
        <v>187</v>
      </c>
      <c r="C351" s="438"/>
      <c r="D351" s="438"/>
      <c r="E351" s="438"/>
      <c r="F351" s="438"/>
      <c r="G351" s="438"/>
    </row>
    <row r="352" spans="1:8" hidden="1" x14ac:dyDescent="0.25">
      <c r="A352" s="454" t="s">
        <v>230</v>
      </c>
      <c r="B352" s="357" t="s">
        <v>191</v>
      </c>
      <c r="C352" s="438"/>
      <c r="D352" s="438"/>
      <c r="E352" s="438"/>
      <c r="F352" s="438"/>
      <c r="G352" s="438"/>
    </row>
    <row r="353" spans="1:7" hidden="1" x14ac:dyDescent="0.25">
      <c r="A353" s="454" t="s">
        <v>231</v>
      </c>
      <c r="B353" s="357" t="s">
        <v>192</v>
      </c>
      <c r="C353" s="438"/>
      <c r="D353" s="438"/>
      <c r="E353" s="438"/>
      <c r="F353" s="438"/>
      <c r="G353" s="438"/>
    </row>
    <row r="354" spans="1:7" s="416" customFormat="1" ht="31.5" x14ac:dyDescent="0.25">
      <c r="A354" s="474" t="s">
        <v>235</v>
      </c>
      <c r="B354" s="488" t="s">
        <v>236</v>
      </c>
      <c r="C354" s="422">
        <f t="shared" ref="C354:D354" si="274">C355+C365</f>
        <v>8798.23</v>
      </c>
      <c r="D354" s="422">
        <f t="shared" si="274"/>
        <v>5500</v>
      </c>
      <c r="E354" s="422">
        <f>E355+E365</f>
        <v>5500</v>
      </c>
      <c r="F354" s="422">
        <f t="shared" ref="F354:G354" si="275">F355+F365</f>
        <v>5750</v>
      </c>
      <c r="G354" s="422">
        <f t="shared" si="275"/>
        <v>6000</v>
      </c>
    </row>
    <row r="355" spans="1:7" s="416" customFormat="1" x14ac:dyDescent="0.25">
      <c r="A355" s="476" t="s">
        <v>87</v>
      </c>
      <c r="B355" s="425" t="s">
        <v>88</v>
      </c>
      <c r="C355" s="426">
        <f t="shared" ref="C355" si="276">C356</f>
        <v>8179.48</v>
      </c>
      <c r="D355" s="426">
        <f t="shared" ref="D355" si="277">D356</f>
        <v>0</v>
      </c>
      <c r="E355" s="426">
        <f t="shared" ref="E355" si="278">E356</f>
        <v>5500</v>
      </c>
      <c r="F355" s="426">
        <f t="shared" ref="F355" si="279">F356</f>
        <v>5750</v>
      </c>
      <c r="G355" s="426">
        <f t="shared" ref="G355" si="280">G356</f>
        <v>6000</v>
      </c>
    </row>
    <row r="356" spans="1:7" s="416" customFormat="1" x14ac:dyDescent="0.25">
      <c r="A356" s="450">
        <v>32</v>
      </c>
      <c r="B356" s="451" t="s">
        <v>103</v>
      </c>
      <c r="C356" s="443">
        <f>C357+C360+C362</f>
        <v>8179.48</v>
      </c>
      <c r="D356" s="443">
        <f t="shared" ref="D356:G356" si="281">D357+D360+D362</f>
        <v>0</v>
      </c>
      <c r="E356" s="443">
        <f t="shared" si="281"/>
        <v>5500</v>
      </c>
      <c r="F356" s="443">
        <f t="shared" si="281"/>
        <v>5750</v>
      </c>
      <c r="G356" s="443">
        <f t="shared" si="281"/>
        <v>6000</v>
      </c>
    </row>
    <row r="357" spans="1:7" s="416" customFormat="1" hidden="1" x14ac:dyDescent="0.25">
      <c r="A357" s="452" t="s">
        <v>113</v>
      </c>
      <c r="B357" s="468" t="s">
        <v>114</v>
      </c>
      <c r="C357" s="415">
        <f t="shared" ref="C357" si="282">C358+C359</f>
        <v>0</v>
      </c>
      <c r="D357" s="415">
        <f t="shared" ref="D357" si="283">D358+D359</f>
        <v>0</v>
      </c>
      <c r="E357" s="415">
        <f t="shared" ref="E357" si="284">E358+E359</f>
        <v>0</v>
      </c>
      <c r="F357" s="415">
        <f t="shared" ref="F357" si="285">F358+F359</f>
        <v>0</v>
      </c>
      <c r="G357" s="415">
        <f t="shared" ref="G357" si="286">G358+G359</f>
        <v>0</v>
      </c>
    </row>
    <row r="358" spans="1:7" hidden="1" x14ac:dyDescent="0.25">
      <c r="A358" s="452" t="s">
        <v>117</v>
      </c>
      <c r="B358" s="468" t="s">
        <v>114</v>
      </c>
      <c r="C358" s="415"/>
      <c r="D358" s="415"/>
      <c r="E358" s="415"/>
      <c r="F358" s="415"/>
      <c r="G358" s="415"/>
    </row>
    <row r="359" spans="1:7" hidden="1" x14ac:dyDescent="0.25">
      <c r="A359" s="452" t="s">
        <v>121</v>
      </c>
      <c r="B359" s="468" t="s">
        <v>332</v>
      </c>
      <c r="C359" s="415"/>
      <c r="D359" s="415"/>
      <c r="E359" s="415"/>
      <c r="F359" s="415"/>
      <c r="G359" s="415"/>
    </row>
    <row r="360" spans="1:7" s="416" customFormat="1" hidden="1" x14ac:dyDescent="0.25">
      <c r="A360" s="452" t="s">
        <v>127</v>
      </c>
      <c r="B360" s="453" t="s">
        <v>128</v>
      </c>
      <c r="C360" s="415">
        <f t="shared" ref="C360" si="287">C361</f>
        <v>0</v>
      </c>
      <c r="D360" s="415">
        <f t="shared" ref="D360" si="288">D361</f>
        <v>0</v>
      </c>
      <c r="E360" s="415">
        <f t="shared" ref="E360" si="289">E361</f>
        <v>0</v>
      </c>
      <c r="F360" s="415">
        <f t="shared" ref="F360" si="290">F361</f>
        <v>0</v>
      </c>
      <c r="G360" s="415">
        <f t="shared" ref="G360" si="291">G361</f>
        <v>0</v>
      </c>
    </row>
    <row r="361" spans="1:7" hidden="1" x14ac:dyDescent="0.25">
      <c r="A361" s="452" t="s">
        <v>131</v>
      </c>
      <c r="B361" s="453" t="s">
        <v>132</v>
      </c>
      <c r="C361" s="415"/>
      <c r="D361" s="415"/>
      <c r="E361" s="415"/>
      <c r="F361" s="415"/>
      <c r="G361" s="415"/>
    </row>
    <row r="362" spans="1:7" s="416" customFormat="1" x14ac:dyDescent="0.25">
      <c r="A362" s="452" t="s">
        <v>220</v>
      </c>
      <c r="B362" s="453" t="s">
        <v>221</v>
      </c>
      <c r="C362" s="415">
        <f t="shared" ref="C362" si="292">C363</f>
        <v>8179.48</v>
      </c>
      <c r="D362" s="415">
        <f t="shared" ref="D362:D363" si="293">D363</f>
        <v>0</v>
      </c>
      <c r="E362" s="415">
        <f t="shared" ref="E362:E363" si="294">E363</f>
        <v>5500</v>
      </c>
      <c r="F362" s="415">
        <f t="shared" ref="F362:F363" si="295">F363</f>
        <v>5750</v>
      </c>
      <c r="G362" s="415">
        <f t="shared" ref="G362:G363" si="296">G363</f>
        <v>6000</v>
      </c>
    </row>
    <row r="363" spans="1:7" x14ac:dyDescent="0.25">
      <c r="A363" s="452" t="s">
        <v>232</v>
      </c>
      <c r="B363" s="453" t="s">
        <v>148</v>
      </c>
      <c r="C363" s="415">
        <f>C364</f>
        <v>8179.48</v>
      </c>
      <c r="D363" s="415">
        <f t="shared" si="293"/>
        <v>0</v>
      </c>
      <c r="E363" s="415">
        <f t="shared" si="294"/>
        <v>5500</v>
      </c>
      <c r="F363" s="415">
        <f t="shared" si="295"/>
        <v>5750</v>
      </c>
      <c r="G363" s="415">
        <f t="shared" si="296"/>
        <v>6000</v>
      </c>
    </row>
    <row r="364" spans="1:7" x14ac:dyDescent="0.25">
      <c r="A364" s="454" t="s">
        <v>530</v>
      </c>
      <c r="B364" s="357" t="s">
        <v>531</v>
      </c>
      <c r="C364" s="438">
        <v>8179.48</v>
      </c>
      <c r="D364" s="438"/>
      <c r="E364" s="438">
        <v>5500</v>
      </c>
      <c r="F364" s="438">
        <v>5750</v>
      </c>
      <c r="G364" s="438">
        <v>6000</v>
      </c>
    </row>
    <row r="365" spans="1:7" s="416" customFormat="1" x14ac:dyDescent="0.25">
      <c r="A365" s="489" t="s">
        <v>352</v>
      </c>
      <c r="B365" s="425" t="s">
        <v>175</v>
      </c>
      <c r="C365" s="426">
        <f t="shared" ref="C365:D365" si="297">C366</f>
        <v>618.75</v>
      </c>
      <c r="D365" s="426">
        <f t="shared" si="297"/>
        <v>5500</v>
      </c>
      <c r="E365" s="426">
        <f>E366</f>
        <v>0</v>
      </c>
      <c r="F365" s="426">
        <f t="shared" ref="F365:G365" si="298">F366</f>
        <v>0</v>
      </c>
      <c r="G365" s="426">
        <f t="shared" si="298"/>
        <v>0</v>
      </c>
    </row>
    <row r="366" spans="1:7" s="413" customFormat="1" x14ac:dyDescent="0.25">
      <c r="A366" s="450">
        <v>42</v>
      </c>
      <c r="B366" s="451" t="s">
        <v>184</v>
      </c>
      <c r="C366" s="443">
        <f t="shared" ref="C366:D366" si="299">C369+C367</f>
        <v>618.75</v>
      </c>
      <c r="D366" s="443">
        <f t="shared" si="299"/>
        <v>5500</v>
      </c>
      <c r="E366" s="443">
        <f>E369+E367</f>
        <v>0</v>
      </c>
      <c r="F366" s="443">
        <f t="shared" ref="F366:G366" si="300">F369+F367</f>
        <v>0</v>
      </c>
      <c r="G366" s="443">
        <f t="shared" si="300"/>
        <v>0</v>
      </c>
    </row>
    <row r="367" spans="1:7" s="413" customFormat="1" hidden="1" x14ac:dyDescent="0.25">
      <c r="A367" s="452" t="s">
        <v>207</v>
      </c>
      <c r="B367" s="453" t="s">
        <v>208</v>
      </c>
      <c r="C367" s="415">
        <f t="shared" ref="C367:D367" si="301">C368</f>
        <v>0</v>
      </c>
      <c r="D367" s="415">
        <f t="shared" si="301"/>
        <v>0</v>
      </c>
      <c r="E367" s="415">
        <f>E368</f>
        <v>0</v>
      </c>
      <c r="F367" s="415">
        <f t="shared" ref="F367:G367" si="302">F368</f>
        <v>0</v>
      </c>
      <c r="G367" s="415">
        <f t="shared" si="302"/>
        <v>0</v>
      </c>
    </row>
    <row r="368" spans="1:7" s="429" customFormat="1" hidden="1" x14ac:dyDescent="0.25">
      <c r="A368" s="452" t="s">
        <v>209</v>
      </c>
      <c r="B368" s="453" t="s">
        <v>210</v>
      </c>
      <c r="C368" s="415"/>
      <c r="D368" s="415"/>
      <c r="E368" s="415"/>
      <c r="F368" s="415"/>
      <c r="G368" s="415"/>
    </row>
    <row r="369" spans="1:7" s="416" customFormat="1" x14ac:dyDescent="0.25">
      <c r="A369" s="452">
        <v>422</v>
      </c>
      <c r="B369" s="453" t="s">
        <v>185</v>
      </c>
      <c r="C369" s="415">
        <f t="shared" ref="C369:D369" si="303">SUM(C370:C372)</f>
        <v>618.75</v>
      </c>
      <c r="D369" s="415">
        <f t="shared" si="303"/>
        <v>5500</v>
      </c>
      <c r="E369" s="415">
        <f>SUM(E370:E372)</f>
        <v>0</v>
      </c>
      <c r="F369" s="415">
        <f t="shared" ref="F369:G369" si="304">SUM(F370:F372)</f>
        <v>0</v>
      </c>
      <c r="G369" s="415">
        <f t="shared" si="304"/>
        <v>0</v>
      </c>
    </row>
    <row r="370" spans="1:7" hidden="1" x14ac:dyDescent="0.25">
      <c r="A370" s="452" t="s">
        <v>186</v>
      </c>
      <c r="B370" s="453" t="s">
        <v>187</v>
      </c>
      <c r="C370" s="415"/>
      <c r="D370" s="415"/>
      <c r="E370" s="415"/>
      <c r="F370" s="415"/>
      <c r="G370" s="415"/>
    </row>
    <row r="371" spans="1:7" hidden="1" x14ac:dyDescent="0.25">
      <c r="A371" s="452" t="s">
        <v>188</v>
      </c>
      <c r="B371" s="453" t="s">
        <v>189</v>
      </c>
      <c r="C371" s="415"/>
      <c r="D371" s="415"/>
      <c r="E371" s="415"/>
      <c r="F371" s="415"/>
      <c r="G371" s="415"/>
    </row>
    <row r="372" spans="1:7" x14ac:dyDescent="0.25">
      <c r="A372" s="452" t="s">
        <v>230</v>
      </c>
      <c r="B372" s="453" t="s">
        <v>191</v>
      </c>
      <c r="C372" s="415">
        <f t="shared" ref="C372:D372" si="305">SUM(C373)</f>
        <v>618.75</v>
      </c>
      <c r="D372" s="415">
        <f t="shared" si="305"/>
        <v>5500</v>
      </c>
      <c r="E372" s="415">
        <f>SUM(E373)</f>
        <v>0</v>
      </c>
      <c r="F372" s="415">
        <f t="shared" ref="F372:G372" si="306">SUM(F373)</f>
        <v>0</v>
      </c>
      <c r="G372" s="415">
        <f t="shared" si="306"/>
        <v>0</v>
      </c>
    </row>
    <row r="373" spans="1:7" x14ac:dyDescent="0.25">
      <c r="A373" s="454" t="s">
        <v>532</v>
      </c>
      <c r="B373" s="357" t="s">
        <v>478</v>
      </c>
      <c r="C373" s="438">
        <v>618.75</v>
      </c>
      <c r="D373" s="438">
        <v>5500</v>
      </c>
      <c r="E373" s="438"/>
      <c r="F373" s="438"/>
      <c r="G373" s="438"/>
    </row>
    <row r="374" spans="1:7" x14ac:dyDescent="0.25">
      <c r="A374" s="474" t="s">
        <v>363</v>
      </c>
      <c r="B374" s="475" t="s">
        <v>364</v>
      </c>
      <c r="C374" s="422">
        <f>C375</f>
        <v>0</v>
      </c>
      <c r="D374" s="422">
        <f t="shared" ref="D374:G375" si="307">D375</f>
        <v>40000</v>
      </c>
      <c r="E374" s="422">
        <f t="shared" si="307"/>
        <v>0</v>
      </c>
      <c r="F374" s="422">
        <f t="shared" si="307"/>
        <v>0</v>
      </c>
      <c r="G374" s="422">
        <f t="shared" si="307"/>
        <v>0</v>
      </c>
    </row>
    <row r="375" spans="1:7" x14ac:dyDescent="0.25">
      <c r="A375" s="489" t="s">
        <v>87</v>
      </c>
      <c r="B375" s="492" t="s">
        <v>88</v>
      </c>
      <c r="C375" s="426">
        <f>C376</f>
        <v>0</v>
      </c>
      <c r="D375" s="426">
        <f t="shared" si="307"/>
        <v>40000</v>
      </c>
      <c r="E375" s="426">
        <f t="shared" si="307"/>
        <v>0</v>
      </c>
      <c r="F375" s="426">
        <f t="shared" si="307"/>
        <v>0</v>
      </c>
      <c r="G375" s="426">
        <f t="shared" si="307"/>
        <v>0</v>
      </c>
    </row>
    <row r="376" spans="1:7" x14ac:dyDescent="0.25">
      <c r="A376" s="450">
        <v>31</v>
      </c>
      <c r="B376" s="451" t="s">
        <v>89</v>
      </c>
      <c r="C376" s="443">
        <f>C377+C378+C379</f>
        <v>0</v>
      </c>
      <c r="D376" s="443">
        <f t="shared" ref="D376:G376" si="308">D377+D378+D379</f>
        <v>40000</v>
      </c>
      <c r="E376" s="443">
        <f t="shared" si="308"/>
        <v>0</v>
      </c>
      <c r="F376" s="443">
        <f t="shared" si="308"/>
        <v>0</v>
      </c>
      <c r="G376" s="443">
        <f t="shared" si="308"/>
        <v>0</v>
      </c>
    </row>
    <row r="377" spans="1:7" x14ac:dyDescent="0.25">
      <c r="A377" s="452">
        <v>311</v>
      </c>
      <c r="B377" s="453" t="s">
        <v>90</v>
      </c>
      <c r="C377" s="415">
        <v>0</v>
      </c>
      <c r="D377" s="415">
        <v>0</v>
      </c>
      <c r="E377" s="415">
        <v>0</v>
      </c>
      <c r="F377" s="415">
        <v>0</v>
      </c>
      <c r="G377" s="415">
        <v>0</v>
      </c>
    </row>
    <row r="378" spans="1:7" x14ac:dyDescent="0.25">
      <c r="A378" s="452" t="s">
        <v>98</v>
      </c>
      <c r="B378" s="453" t="s">
        <v>99</v>
      </c>
      <c r="C378" s="415">
        <v>0</v>
      </c>
      <c r="D378" s="415">
        <v>0</v>
      </c>
      <c r="E378" s="415">
        <v>0</v>
      </c>
      <c r="F378" s="415">
        <v>0</v>
      </c>
      <c r="G378" s="415">
        <v>0</v>
      </c>
    </row>
    <row r="379" spans="1:7" x14ac:dyDescent="0.25">
      <c r="A379" s="457">
        <v>313</v>
      </c>
      <c r="B379" s="453" t="s">
        <v>101</v>
      </c>
      <c r="C379" s="415">
        <f>C380</f>
        <v>0</v>
      </c>
      <c r="D379" s="415">
        <f t="shared" ref="D379:G380" si="309">D380</f>
        <v>40000</v>
      </c>
      <c r="E379" s="415">
        <f t="shared" si="309"/>
        <v>0</v>
      </c>
      <c r="F379" s="415">
        <f t="shared" si="309"/>
        <v>0</v>
      </c>
      <c r="G379" s="415">
        <f t="shared" si="309"/>
        <v>0</v>
      </c>
    </row>
    <row r="380" spans="1:7" s="416" customFormat="1" x14ac:dyDescent="0.25">
      <c r="A380" s="452" t="s">
        <v>214</v>
      </c>
      <c r="B380" s="453" t="s">
        <v>102</v>
      </c>
      <c r="C380" s="415">
        <f>C381</f>
        <v>0</v>
      </c>
      <c r="D380" s="415">
        <f t="shared" si="309"/>
        <v>40000</v>
      </c>
      <c r="E380" s="415">
        <f t="shared" si="309"/>
        <v>0</v>
      </c>
      <c r="F380" s="415">
        <f t="shared" si="309"/>
        <v>0</v>
      </c>
      <c r="G380" s="415">
        <f t="shared" si="309"/>
        <v>0</v>
      </c>
    </row>
    <row r="381" spans="1:7" x14ac:dyDescent="0.25">
      <c r="A381" s="454" t="s">
        <v>504</v>
      </c>
      <c r="B381" s="357" t="s">
        <v>102</v>
      </c>
      <c r="C381" s="438">
        <v>0</v>
      </c>
      <c r="D381" s="438">
        <v>40000</v>
      </c>
      <c r="E381" s="438">
        <v>0</v>
      </c>
      <c r="F381" s="438">
        <v>0</v>
      </c>
      <c r="G381" s="438">
        <v>0</v>
      </c>
    </row>
    <row r="382" spans="1:7" x14ac:dyDescent="0.25">
      <c r="A382" s="474" t="s">
        <v>363</v>
      </c>
      <c r="B382" s="475" t="s">
        <v>364</v>
      </c>
      <c r="C382" s="422">
        <f>C383</f>
        <v>20947.580000000005</v>
      </c>
      <c r="D382" s="422">
        <f>D383</f>
        <v>40000</v>
      </c>
      <c r="E382" s="422">
        <f t="shared" ref="E382:G382" si="310">E383</f>
        <v>0</v>
      </c>
      <c r="F382" s="422">
        <f t="shared" si="310"/>
        <v>0</v>
      </c>
      <c r="G382" s="422">
        <f t="shared" si="310"/>
        <v>0</v>
      </c>
    </row>
    <row r="383" spans="1:7" x14ac:dyDescent="0.25">
      <c r="A383" s="489" t="s">
        <v>87</v>
      </c>
      <c r="B383" s="492" t="s">
        <v>88</v>
      </c>
      <c r="C383" s="426">
        <f>C384+C393</f>
        <v>20947.580000000005</v>
      </c>
      <c r="D383" s="426">
        <f>D384+D393</f>
        <v>40000</v>
      </c>
      <c r="E383" s="426">
        <f t="shared" ref="E383:G383" si="311">E384+E393</f>
        <v>0</v>
      </c>
      <c r="F383" s="426">
        <f t="shared" si="311"/>
        <v>0</v>
      </c>
      <c r="G383" s="426">
        <f t="shared" si="311"/>
        <v>0</v>
      </c>
    </row>
    <row r="384" spans="1:7" hidden="1" x14ac:dyDescent="0.25">
      <c r="A384" s="450">
        <v>31</v>
      </c>
      <c r="B384" s="451" t="s">
        <v>89</v>
      </c>
      <c r="C384" s="443">
        <f t="shared" ref="C384" si="312">C385+C388+C390</f>
        <v>0</v>
      </c>
      <c r="D384" s="443">
        <f t="shared" ref="D384" si="313">D385+D388+D390</f>
        <v>0</v>
      </c>
      <c r="E384" s="443">
        <f>E385+E388+E390</f>
        <v>0</v>
      </c>
      <c r="F384" s="443">
        <f t="shared" ref="F384:G384" si="314">F385+F388+F390</f>
        <v>0</v>
      </c>
      <c r="G384" s="443">
        <f t="shared" si="314"/>
        <v>0</v>
      </c>
    </row>
    <row r="385" spans="1:7" hidden="1" x14ac:dyDescent="0.25">
      <c r="A385" s="452">
        <v>311</v>
      </c>
      <c r="B385" s="453" t="s">
        <v>90</v>
      </c>
      <c r="C385" s="415">
        <f t="shared" ref="C385" si="315">C386+C387</f>
        <v>0</v>
      </c>
      <c r="D385" s="415">
        <f t="shared" ref="D385" si="316">D386+D387</f>
        <v>0</v>
      </c>
      <c r="E385" s="415">
        <f>E386+E387</f>
        <v>0</v>
      </c>
      <c r="F385" s="415">
        <f t="shared" ref="F385:G385" si="317">F386+F387</f>
        <v>0</v>
      </c>
      <c r="G385" s="415">
        <f t="shared" si="317"/>
        <v>0</v>
      </c>
    </row>
    <row r="386" spans="1:7" hidden="1" x14ac:dyDescent="0.25">
      <c r="A386" s="454">
        <v>3111</v>
      </c>
      <c r="B386" s="357" t="s">
        <v>91</v>
      </c>
      <c r="C386" s="438"/>
      <c r="D386" s="438"/>
      <c r="E386" s="438"/>
      <c r="F386" s="438"/>
      <c r="G386" s="438"/>
    </row>
    <row r="387" spans="1:7" hidden="1" x14ac:dyDescent="0.25">
      <c r="A387" s="454" t="s">
        <v>96</v>
      </c>
      <c r="B387" s="357" t="s">
        <v>212</v>
      </c>
      <c r="C387" s="438"/>
      <c r="D387" s="438"/>
      <c r="E387" s="438"/>
      <c r="F387" s="438"/>
      <c r="G387" s="438"/>
    </row>
    <row r="388" spans="1:7" hidden="1" x14ac:dyDescent="0.25">
      <c r="A388" s="452" t="s">
        <v>98</v>
      </c>
      <c r="B388" s="453" t="s">
        <v>99</v>
      </c>
      <c r="C388" s="415">
        <f t="shared" ref="C388:D388" si="318">C389</f>
        <v>0</v>
      </c>
      <c r="D388" s="415">
        <f t="shared" si="318"/>
        <v>0</v>
      </c>
      <c r="E388" s="415">
        <f>E389</f>
        <v>0</v>
      </c>
      <c r="F388" s="415">
        <f t="shared" ref="F388:G388" si="319">F389</f>
        <v>0</v>
      </c>
      <c r="G388" s="415">
        <f t="shared" si="319"/>
        <v>0</v>
      </c>
    </row>
    <row r="389" spans="1:7" hidden="1" x14ac:dyDescent="0.25">
      <c r="A389" s="454" t="s">
        <v>100</v>
      </c>
      <c r="B389" s="357" t="s">
        <v>99</v>
      </c>
      <c r="C389" s="438"/>
      <c r="D389" s="438"/>
      <c r="E389" s="438"/>
      <c r="F389" s="438"/>
      <c r="G389" s="438"/>
    </row>
    <row r="390" spans="1:7" hidden="1" x14ac:dyDescent="0.25">
      <c r="A390" s="457">
        <v>313</v>
      </c>
      <c r="B390" s="453" t="s">
        <v>101</v>
      </c>
      <c r="C390" s="415">
        <f t="shared" ref="C390" si="320">C391+C392</f>
        <v>0</v>
      </c>
      <c r="D390" s="415">
        <f t="shared" ref="D390" si="321">D391+D392</f>
        <v>0</v>
      </c>
      <c r="E390" s="415">
        <f>E391+E392</f>
        <v>0</v>
      </c>
      <c r="F390" s="415">
        <f t="shared" ref="F390:G390" si="322">F391+F392</f>
        <v>0</v>
      </c>
      <c r="G390" s="415">
        <f t="shared" si="322"/>
        <v>0</v>
      </c>
    </row>
    <row r="391" spans="1:7" hidden="1" x14ac:dyDescent="0.25">
      <c r="A391" s="458" t="s">
        <v>226</v>
      </c>
      <c r="B391" s="357" t="s">
        <v>227</v>
      </c>
      <c r="C391" s="438"/>
      <c r="D391" s="438"/>
      <c r="E391" s="438"/>
      <c r="F391" s="438"/>
      <c r="G391" s="438"/>
    </row>
    <row r="392" spans="1:7" hidden="1" x14ac:dyDescent="0.25">
      <c r="A392" s="458">
        <v>3132</v>
      </c>
      <c r="B392" s="357" t="s">
        <v>102</v>
      </c>
      <c r="C392" s="438"/>
      <c r="D392" s="438"/>
      <c r="E392" s="438"/>
      <c r="F392" s="438"/>
      <c r="G392" s="438"/>
    </row>
    <row r="393" spans="1:7" x14ac:dyDescent="0.25">
      <c r="A393" s="450">
        <v>32</v>
      </c>
      <c r="B393" s="451" t="s">
        <v>103</v>
      </c>
      <c r="C393" s="443">
        <f>C394+C398+C407+C417+C421</f>
        <v>20947.580000000005</v>
      </c>
      <c r="D393" s="443">
        <f>D394+D398+D407+D417+D421</f>
        <v>40000</v>
      </c>
      <c r="E393" s="443">
        <f>E394+E398+E407+E421</f>
        <v>0</v>
      </c>
      <c r="F393" s="443">
        <f>F394+F398+F407+F421</f>
        <v>0</v>
      </c>
      <c r="G393" s="443">
        <f>G394+G398+G407+G421</f>
        <v>0</v>
      </c>
    </row>
    <row r="394" spans="1:7" hidden="1" x14ac:dyDescent="0.25">
      <c r="A394" s="452">
        <v>321</v>
      </c>
      <c r="B394" s="453" t="s">
        <v>104</v>
      </c>
      <c r="C394" s="415">
        <f t="shared" ref="C394" si="323">SUM(C395:C397)</f>
        <v>0</v>
      </c>
      <c r="D394" s="415">
        <f t="shared" ref="D394" si="324">SUM(D395:D397)</f>
        <v>0</v>
      </c>
      <c r="E394" s="415">
        <f>SUM(E395:E397)</f>
        <v>0</v>
      </c>
      <c r="F394" s="415">
        <f t="shared" ref="F394:G394" si="325">SUM(F395:F397)</f>
        <v>0</v>
      </c>
      <c r="G394" s="415">
        <f t="shared" si="325"/>
        <v>0</v>
      </c>
    </row>
    <row r="395" spans="1:7" hidden="1" x14ac:dyDescent="0.25">
      <c r="A395" s="454" t="s">
        <v>105</v>
      </c>
      <c r="B395" s="357" t="s">
        <v>106</v>
      </c>
      <c r="C395" s="438"/>
      <c r="D395" s="438"/>
      <c r="E395" s="438"/>
      <c r="F395" s="438"/>
      <c r="G395" s="438"/>
    </row>
    <row r="396" spans="1:7" hidden="1" x14ac:dyDescent="0.25">
      <c r="A396" s="454" t="s">
        <v>107</v>
      </c>
      <c r="B396" s="358" t="s">
        <v>108</v>
      </c>
      <c r="C396" s="438"/>
      <c r="D396" s="438"/>
      <c r="E396" s="438"/>
      <c r="F396" s="438"/>
      <c r="G396" s="438"/>
    </row>
    <row r="397" spans="1:7" hidden="1" x14ac:dyDescent="0.25">
      <c r="A397" s="454" t="s">
        <v>109</v>
      </c>
      <c r="B397" s="358" t="s">
        <v>110</v>
      </c>
      <c r="C397" s="438"/>
      <c r="D397" s="438"/>
      <c r="E397" s="438"/>
      <c r="F397" s="438"/>
      <c r="G397" s="438"/>
    </row>
    <row r="398" spans="1:7" x14ac:dyDescent="0.25">
      <c r="A398" s="452" t="s">
        <v>113</v>
      </c>
      <c r="B398" s="359" t="s">
        <v>114</v>
      </c>
      <c r="C398" s="415">
        <f>C399+C402+C404</f>
        <v>16672.780000000002</v>
      </c>
      <c r="D398" s="415">
        <f>D399+D402+D404</f>
        <v>4000</v>
      </c>
      <c r="E398" s="415">
        <f t="shared" ref="E398:G398" si="326">E399+E402+E404</f>
        <v>0</v>
      </c>
      <c r="F398" s="415">
        <f t="shared" si="326"/>
        <v>0</v>
      </c>
      <c r="G398" s="415">
        <f t="shared" si="326"/>
        <v>0</v>
      </c>
    </row>
    <row r="399" spans="1:7" x14ac:dyDescent="0.25">
      <c r="A399" s="452" t="s">
        <v>115</v>
      </c>
      <c r="B399" s="453" t="s">
        <v>116</v>
      </c>
      <c r="C399" s="523">
        <f>SUM(C400:C401)</f>
        <v>1543.88</v>
      </c>
      <c r="D399" s="523">
        <f t="shared" ref="D399:G399" si="327">SUM(D400:D401)</f>
        <v>4000</v>
      </c>
      <c r="E399" s="523">
        <f t="shared" si="327"/>
        <v>0</v>
      </c>
      <c r="F399" s="523">
        <f t="shared" si="327"/>
        <v>0</v>
      </c>
      <c r="G399" s="523">
        <f t="shared" si="327"/>
        <v>0</v>
      </c>
    </row>
    <row r="400" spans="1:7" x14ac:dyDescent="0.25">
      <c r="A400" s="454">
        <v>32211</v>
      </c>
      <c r="B400" s="357" t="s">
        <v>423</v>
      </c>
      <c r="C400" s="524">
        <v>1228.8800000000001</v>
      </c>
      <c r="D400" s="438">
        <v>2000</v>
      </c>
      <c r="E400" s="438">
        <v>0</v>
      </c>
      <c r="F400" s="438">
        <v>0</v>
      </c>
      <c r="G400" s="438">
        <v>0</v>
      </c>
    </row>
    <row r="401" spans="1:7" x14ac:dyDescent="0.25">
      <c r="A401" s="454">
        <v>32214</v>
      </c>
      <c r="B401" s="358" t="s">
        <v>425</v>
      </c>
      <c r="C401" s="524">
        <v>315</v>
      </c>
      <c r="D401" s="438">
        <v>2000</v>
      </c>
      <c r="E401" s="438">
        <v>0</v>
      </c>
      <c r="F401" s="438">
        <v>0</v>
      </c>
      <c r="G401" s="438">
        <v>0</v>
      </c>
    </row>
    <row r="402" spans="1:7" s="437" customFormat="1" x14ac:dyDescent="0.25">
      <c r="A402" s="452" t="s">
        <v>117</v>
      </c>
      <c r="B402" s="453" t="s">
        <v>118</v>
      </c>
      <c r="C402" s="456">
        <f>SUM(C403:C403)</f>
        <v>12071.02</v>
      </c>
      <c r="D402" s="456">
        <f t="shared" ref="D402:G402" si="328">SUM(D403:D403)</f>
        <v>0</v>
      </c>
      <c r="E402" s="456">
        <f t="shared" si="328"/>
        <v>0</v>
      </c>
      <c r="F402" s="456">
        <f t="shared" si="328"/>
        <v>0</v>
      </c>
      <c r="G402" s="456">
        <f t="shared" si="328"/>
        <v>0</v>
      </c>
    </row>
    <row r="403" spans="1:7" s="437" customFormat="1" x14ac:dyDescent="0.25">
      <c r="A403" s="454" t="s">
        <v>507</v>
      </c>
      <c r="B403" s="357" t="s">
        <v>428</v>
      </c>
      <c r="C403" s="455">
        <v>12071.02</v>
      </c>
      <c r="D403" s="455">
        <v>0</v>
      </c>
      <c r="E403" s="455">
        <v>0</v>
      </c>
      <c r="F403" s="455">
        <v>0</v>
      </c>
      <c r="G403" s="455">
        <v>0</v>
      </c>
    </row>
    <row r="404" spans="1:7" x14ac:dyDescent="0.25">
      <c r="A404" s="452" t="s">
        <v>119</v>
      </c>
      <c r="B404" s="453" t="s">
        <v>120</v>
      </c>
      <c r="C404" s="456">
        <f>SUM(C405:C406)</f>
        <v>3057.8799999999997</v>
      </c>
      <c r="D404" s="456">
        <f t="shared" ref="D404:G404" si="329">SUM(D405:D406)</f>
        <v>0</v>
      </c>
      <c r="E404" s="456">
        <f t="shared" si="329"/>
        <v>0</v>
      </c>
      <c r="F404" s="456">
        <f t="shared" si="329"/>
        <v>0</v>
      </c>
      <c r="G404" s="456">
        <f t="shared" si="329"/>
        <v>0</v>
      </c>
    </row>
    <row r="405" spans="1:7" x14ac:dyDescent="0.25">
      <c r="A405" s="454" t="s">
        <v>510</v>
      </c>
      <c r="B405" s="357" t="s">
        <v>432</v>
      </c>
      <c r="C405" s="455">
        <v>2416.9899999999998</v>
      </c>
      <c r="D405" s="455">
        <v>0</v>
      </c>
      <c r="E405" s="455">
        <v>0</v>
      </c>
      <c r="F405" s="455">
        <v>0</v>
      </c>
      <c r="G405" s="455">
        <v>0</v>
      </c>
    </row>
    <row r="406" spans="1:7" x14ac:dyDescent="0.25">
      <c r="A406" s="454" t="s">
        <v>512</v>
      </c>
      <c r="B406" s="357" t="s">
        <v>434</v>
      </c>
      <c r="C406" s="455">
        <v>640.89</v>
      </c>
      <c r="D406" s="455">
        <v>0</v>
      </c>
      <c r="E406" s="455">
        <v>0</v>
      </c>
      <c r="F406" s="455">
        <v>0</v>
      </c>
      <c r="G406" s="455">
        <v>0</v>
      </c>
    </row>
    <row r="407" spans="1:7" s="416" customFormat="1" x14ac:dyDescent="0.25">
      <c r="A407" s="452" t="s">
        <v>127</v>
      </c>
      <c r="B407" s="453" t="s">
        <v>128</v>
      </c>
      <c r="C407" s="415">
        <f>C408+C410+C412+C414</f>
        <v>2956.9</v>
      </c>
      <c r="D407" s="415">
        <f>D408+D410+D412+D414</f>
        <v>10000</v>
      </c>
      <c r="E407" s="415">
        <f t="shared" ref="E407:G407" si="330">E408+E410+E412+E414</f>
        <v>0</v>
      </c>
      <c r="F407" s="415">
        <f t="shared" si="330"/>
        <v>0</v>
      </c>
      <c r="G407" s="415">
        <f t="shared" si="330"/>
        <v>0</v>
      </c>
    </row>
    <row r="408" spans="1:7" s="416" customFormat="1" x14ac:dyDescent="0.25">
      <c r="A408" s="452" t="s">
        <v>129</v>
      </c>
      <c r="B408" s="453" t="s">
        <v>130</v>
      </c>
      <c r="C408" s="415">
        <f>C409</f>
        <v>0</v>
      </c>
      <c r="D408" s="415">
        <f>D409</f>
        <v>3000</v>
      </c>
      <c r="E408" s="415">
        <f t="shared" ref="E408:G408" si="331">E409</f>
        <v>0</v>
      </c>
      <c r="F408" s="415">
        <f t="shared" si="331"/>
        <v>0</v>
      </c>
      <c r="G408" s="415">
        <f t="shared" si="331"/>
        <v>0</v>
      </c>
    </row>
    <row r="409" spans="1:7" x14ac:dyDescent="0.25">
      <c r="A409" s="454" t="s">
        <v>516</v>
      </c>
      <c r="B409" s="357" t="s">
        <v>439</v>
      </c>
      <c r="C409" s="438"/>
      <c r="D409" s="438">
        <v>3000</v>
      </c>
      <c r="E409" s="438"/>
      <c r="F409" s="438"/>
      <c r="G409" s="438"/>
    </row>
    <row r="410" spans="1:7" x14ac:dyDescent="0.25">
      <c r="A410" s="452" t="s">
        <v>218</v>
      </c>
      <c r="B410" s="453" t="s">
        <v>138</v>
      </c>
      <c r="C410" s="456">
        <f t="shared" ref="C410:G410" si="332">SUM(C411)</f>
        <v>1399.02</v>
      </c>
      <c r="D410" s="456">
        <f t="shared" si="332"/>
        <v>7000</v>
      </c>
      <c r="E410" s="456">
        <f t="shared" si="332"/>
        <v>0</v>
      </c>
      <c r="F410" s="456">
        <f t="shared" si="332"/>
        <v>0</v>
      </c>
      <c r="G410" s="456">
        <f t="shared" si="332"/>
        <v>0</v>
      </c>
    </row>
    <row r="411" spans="1:7" x14ac:dyDescent="0.25">
      <c r="A411" s="454" t="s">
        <v>527</v>
      </c>
      <c r="B411" s="357" t="s">
        <v>450</v>
      </c>
      <c r="C411" s="455">
        <v>1399.02</v>
      </c>
      <c r="D411" s="455">
        <v>7000</v>
      </c>
      <c r="E411" s="455">
        <v>0</v>
      </c>
      <c r="F411" s="455">
        <v>0</v>
      </c>
      <c r="G411" s="455">
        <v>0</v>
      </c>
    </row>
    <row r="412" spans="1:7" x14ac:dyDescent="0.25">
      <c r="A412" s="459">
        <v>3237</v>
      </c>
      <c r="B412" s="460" t="s">
        <v>139</v>
      </c>
      <c r="C412" s="456">
        <f>SUM(C413:C413)</f>
        <v>1250</v>
      </c>
      <c r="D412" s="456">
        <f t="shared" ref="D412:G412" si="333">SUM(D413:D413)</f>
        <v>0</v>
      </c>
      <c r="E412" s="456">
        <f t="shared" si="333"/>
        <v>0</v>
      </c>
      <c r="F412" s="456">
        <f t="shared" si="333"/>
        <v>0</v>
      </c>
      <c r="G412" s="456">
        <f t="shared" si="333"/>
        <v>0</v>
      </c>
    </row>
    <row r="413" spans="1:7" x14ac:dyDescent="0.25">
      <c r="A413" s="361">
        <v>32379</v>
      </c>
      <c r="B413" s="360" t="s">
        <v>519</v>
      </c>
      <c r="C413" s="455">
        <v>1250</v>
      </c>
      <c r="D413" s="455">
        <v>0</v>
      </c>
      <c r="E413" s="455">
        <v>0</v>
      </c>
      <c r="F413" s="455">
        <v>0</v>
      </c>
      <c r="G413" s="455">
        <v>0</v>
      </c>
    </row>
    <row r="414" spans="1:7" x14ac:dyDescent="0.25">
      <c r="A414" s="459" t="s">
        <v>142</v>
      </c>
      <c r="B414" s="460" t="s">
        <v>143</v>
      </c>
      <c r="C414" s="456">
        <f>SUM(C415:C416)</f>
        <v>307.88</v>
      </c>
      <c r="D414" s="456">
        <f t="shared" ref="D414:G414" si="334">SUM(D415:D416)</f>
        <v>0</v>
      </c>
      <c r="E414" s="456">
        <f t="shared" si="334"/>
        <v>0</v>
      </c>
      <c r="F414" s="456">
        <f t="shared" si="334"/>
        <v>0</v>
      </c>
      <c r="G414" s="456">
        <f t="shared" si="334"/>
        <v>0</v>
      </c>
    </row>
    <row r="415" spans="1:7" x14ac:dyDescent="0.25">
      <c r="A415" s="361">
        <v>32394</v>
      </c>
      <c r="B415" s="360" t="s">
        <v>454</v>
      </c>
      <c r="C415" s="455">
        <v>237.88</v>
      </c>
      <c r="D415" s="455">
        <v>0</v>
      </c>
      <c r="E415" s="455">
        <v>0</v>
      </c>
      <c r="F415" s="455">
        <v>0</v>
      </c>
      <c r="G415" s="455">
        <v>0</v>
      </c>
    </row>
    <row r="416" spans="1:7" x14ac:dyDescent="0.25">
      <c r="A416" s="361">
        <v>32399</v>
      </c>
      <c r="B416" s="360" t="s">
        <v>317</v>
      </c>
      <c r="C416" s="455">
        <v>70</v>
      </c>
      <c r="D416" s="455">
        <v>0</v>
      </c>
      <c r="E416" s="455">
        <v>0</v>
      </c>
      <c r="F416" s="455">
        <v>0</v>
      </c>
      <c r="G416" s="455">
        <v>0</v>
      </c>
    </row>
    <row r="417" spans="1:7" x14ac:dyDescent="0.25">
      <c r="A417" s="452" t="s">
        <v>594</v>
      </c>
      <c r="B417" s="461" t="s">
        <v>128</v>
      </c>
      <c r="C417" s="456">
        <f>C418</f>
        <v>0</v>
      </c>
      <c r="D417" s="456">
        <f t="shared" ref="D417:G417" si="335">D418</f>
        <v>26000</v>
      </c>
      <c r="E417" s="456">
        <f t="shared" si="335"/>
        <v>0</v>
      </c>
      <c r="F417" s="456">
        <f t="shared" si="335"/>
        <v>0</v>
      </c>
      <c r="G417" s="456">
        <f t="shared" si="335"/>
        <v>0</v>
      </c>
    </row>
    <row r="418" spans="1:7" x14ac:dyDescent="0.25">
      <c r="A418" s="452" t="s">
        <v>595</v>
      </c>
      <c r="B418" s="461" t="s">
        <v>143</v>
      </c>
      <c r="C418" s="456">
        <f>C419+C420</f>
        <v>0</v>
      </c>
      <c r="D418" s="456">
        <f t="shared" ref="D418:G418" si="336">D419+D420</f>
        <v>26000</v>
      </c>
      <c r="E418" s="456">
        <f t="shared" si="336"/>
        <v>0</v>
      </c>
      <c r="F418" s="456">
        <f t="shared" si="336"/>
        <v>0</v>
      </c>
      <c r="G418" s="456">
        <f t="shared" si="336"/>
        <v>0</v>
      </c>
    </row>
    <row r="419" spans="1:7" x14ac:dyDescent="0.25">
      <c r="A419" s="454" t="s">
        <v>596</v>
      </c>
      <c r="B419" s="462" t="s">
        <v>598</v>
      </c>
      <c r="C419" s="455"/>
      <c r="D419" s="455">
        <v>4000</v>
      </c>
      <c r="E419" s="455"/>
      <c r="F419" s="455"/>
      <c r="G419" s="455"/>
    </row>
    <row r="420" spans="1:7" x14ac:dyDescent="0.25">
      <c r="A420" s="454" t="s">
        <v>597</v>
      </c>
      <c r="B420" s="462" t="s">
        <v>599</v>
      </c>
      <c r="C420" s="455"/>
      <c r="D420" s="455">
        <v>22000</v>
      </c>
      <c r="E420" s="455"/>
      <c r="F420" s="455"/>
      <c r="G420" s="455"/>
    </row>
    <row r="421" spans="1:7" x14ac:dyDescent="0.25">
      <c r="A421" s="459">
        <v>329</v>
      </c>
      <c r="B421" s="460" t="s">
        <v>145</v>
      </c>
      <c r="C421" s="415">
        <f>C422+C424+C426</f>
        <v>1317.9</v>
      </c>
      <c r="D421" s="415">
        <f t="shared" ref="D421:G421" si="337">D422+D424+D426</f>
        <v>0</v>
      </c>
      <c r="E421" s="415">
        <f t="shared" si="337"/>
        <v>0</v>
      </c>
      <c r="F421" s="415">
        <f t="shared" si="337"/>
        <v>0</v>
      </c>
      <c r="G421" s="415">
        <f t="shared" si="337"/>
        <v>0</v>
      </c>
    </row>
    <row r="422" spans="1:7" x14ac:dyDescent="0.25">
      <c r="A422" s="459">
        <v>3292</v>
      </c>
      <c r="B422" s="460" t="s">
        <v>148</v>
      </c>
      <c r="C422" s="464">
        <f>SUM(C423:C423)</f>
        <v>250.01</v>
      </c>
      <c r="D422" s="464">
        <f t="shared" ref="D422:G422" si="338">SUM(D423:D423)</f>
        <v>0</v>
      </c>
      <c r="E422" s="464">
        <f t="shared" si="338"/>
        <v>0</v>
      </c>
      <c r="F422" s="464">
        <f t="shared" si="338"/>
        <v>0</v>
      </c>
      <c r="G422" s="464">
        <f t="shared" si="338"/>
        <v>0</v>
      </c>
    </row>
    <row r="423" spans="1:7" x14ac:dyDescent="0.25">
      <c r="A423" s="361">
        <v>32923</v>
      </c>
      <c r="B423" s="360" t="s">
        <v>456</v>
      </c>
      <c r="C423" s="455">
        <v>250.01</v>
      </c>
      <c r="D423" s="455">
        <v>0</v>
      </c>
      <c r="E423" s="455">
        <v>0</v>
      </c>
      <c r="F423" s="455">
        <v>0</v>
      </c>
      <c r="G423" s="455">
        <v>0</v>
      </c>
    </row>
    <row r="424" spans="1:7" x14ac:dyDescent="0.25">
      <c r="A424" s="459">
        <v>3293</v>
      </c>
      <c r="B424" s="460" t="s">
        <v>149</v>
      </c>
      <c r="C424" s="456">
        <f t="shared" ref="C424:G424" si="339">SUM(C425)</f>
        <v>877.58</v>
      </c>
      <c r="D424" s="456">
        <f t="shared" si="339"/>
        <v>0</v>
      </c>
      <c r="E424" s="456">
        <f t="shared" si="339"/>
        <v>0</v>
      </c>
      <c r="F424" s="456">
        <f t="shared" si="339"/>
        <v>0</v>
      </c>
      <c r="G424" s="456">
        <f t="shared" si="339"/>
        <v>0</v>
      </c>
    </row>
    <row r="425" spans="1:7" x14ac:dyDescent="0.25">
      <c r="A425" s="361">
        <v>32931</v>
      </c>
      <c r="B425" s="360" t="s">
        <v>149</v>
      </c>
      <c r="C425" s="455">
        <v>877.58</v>
      </c>
      <c r="D425" s="455">
        <v>0</v>
      </c>
      <c r="E425" s="455">
        <v>0</v>
      </c>
      <c r="F425" s="455">
        <v>0</v>
      </c>
      <c r="G425" s="455">
        <v>0</v>
      </c>
    </row>
    <row r="426" spans="1:7" x14ac:dyDescent="0.25">
      <c r="A426" s="366" t="s">
        <v>153</v>
      </c>
      <c r="B426" s="367" t="s">
        <v>145</v>
      </c>
      <c r="C426" s="456">
        <f>SUM(C427:C427)</f>
        <v>190.31</v>
      </c>
      <c r="D426" s="456">
        <f t="shared" ref="D426:G426" si="340">SUM(D427:D427)</f>
        <v>0</v>
      </c>
      <c r="E426" s="456">
        <f t="shared" si="340"/>
        <v>0</v>
      </c>
      <c r="F426" s="456">
        <f t="shared" si="340"/>
        <v>0</v>
      </c>
      <c r="G426" s="456">
        <f t="shared" si="340"/>
        <v>0</v>
      </c>
    </row>
    <row r="427" spans="1:7" x14ac:dyDescent="0.25">
      <c r="A427" s="363">
        <v>32999</v>
      </c>
      <c r="B427" s="362" t="s">
        <v>145</v>
      </c>
      <c r="C427" s="455">
        <v>190.31</v>
      </c>
      <c r="D427" s="455">
        <v>0</v>
      </c>
      <c r="E427" s="455">
        <v>0</v>
      </c>
      <c r="F427" s="455">
        <v>0</v>
      </c>
      <c r="G427" s="455">
        <v>0</v>
      </c>
    </row>
    <row r="428" spans="1:7" x14ac:dyDescent="0.25">
      <c r="A428" s="474" t="s">
        <v>363</v>
      </c>
      <c r="B428" s="475" t="s">
        <v>364</v>
      </c>
      <c r="C428" s="422">
        <f>C429</f>
        <v>0</v>
      </c>
      <c r="D428" s="422">
        <f t="shared" ref="D428:G432" si="341">D429</f>
        <v>20000</v>
      </c>
      <c r="E428" s="422">
        <f t="shared" si="341"/>
        <v>0</v>
      </c>
      <c r="F428" s="422">
        <f t="shared" si="341"/>
        <v>0</v>
      </c>
      <c r="G428" s="422">
        <f t="shared" si="341"/>
        <v>0</v>
      </c>
    </row>
    <row r="429" spans="1:7" x14ac:dyDescent="0.25">
      <c r="A429" s="489" t="s">
        <v>87</v>
      </c>
      <c r="B429" s="492" t="s">
        <v>88</v>
      </c>
      <c r="C429" s="426">
        <f>C430</f>
        <v>0</v>
      </c>
      <c r="D429" s="426">
        <f t="shared" si="341"/>
        <v>20000</v>
      </c>
      <c r="E429" s="426">
        <f t="shared" si="341"/>
        <v>0</v>
      </c>
      <c r="F429" s="426">
        <f t="shared" si="341"/>
        <v>0</v>
      </c>
      <c r="G429" s="426">
        <f t="shared" si="341"/>
        <v>0</v>
      </c>
    </row>
    <row r="430" spans="1:7" x14ac:dyDescent="0.25">
      <c r="A430" s="450">
        <v>32</v>
      </c>
      <c r="B430" s="451" t="s">
        <v>103</v>
      </c>
      <c r="C430" s="443">
        <f>C431</f>
        <v>0</v>
      </c>
      <c r="D430" s="443">
        <f t="shared" si="341"/>
        <v>20000</v>
      </c>
      <c r="E430" s="443">
        <f t="shared" si="341"/>
        <v>0</v>
      </c>
      <c r="F430" s="443">
        <f t="shared" si="341"/>
        <v>0</v>
      </c>
      <c r="G430" s="443">
        <f t="shared" si="341"/>
        <v>0</v>
      </c>
    </row>
    <row r="431" spans="1:7" x14ac:dyDescent="0.25">
      <c r="A431" s="363">
        <v>325</v>
      </c>
      <c r="B431" s="461" t="s">
        <v>128</v>
      </c>
      <c r="C431" s="455">
        <f>C432</f>
        <v>0</v>
      </c>
      <c r="D431" s="455">
        <f t="shared" si="341"/>
        <v>20000</v>
      </c>
      <c r="E431" s="455">
        <f t="shared" si="341"/>
        <v>0</v>
      </c>
      <c r="F431" s="455">
        <f t="shared" si="341"/>
        <v>0</v>
      </c>
      <c r="G431" s="455">
        <f t="shared" si="341"/>
        <v>0</v>
      </c>
    </row>
    <row r="432" spans="1:7" x14ac:dyDescent="0.25">
      <c r="A432" s="363">
        <v>3251</v>
      </c>
      <c r="B432" s="461" t="s">
        <v>143</v>
      </c>
      <c r="C432" s="455">
        <f>C433</f>
        <v>0</v>
      </c>
      <c r="D432" s="455">
        <f t="shared" si="341"/>
        <v>20000</v>
      </c>
      <c r="E432" s="455">
        <f t="shared" si="341"/>
        <v>0</v>
      </c>
      <c r="F432" s="455">
        <f t="shared" si="341"/>
        <v>0</v>
      </c>
      <c r="G432" s="455">
        <f t="shared" si="341"/>
        <v>0</v>
      </c>
    </row>
    <row r="433" spans="1:7" x14ac:dyDescent="0.25">
      <c r="A433" s="363">
        <v>32513</v>
      </c>
      <c r="B433" s="462" t="s">
        <v>599</v>
      </c>
      <c r="C433" s="455">
        <v>0</v>
      </c>
      <c r="D433" s="455">
        <v>20000</v>
      </c>
      <c r="E433" s="455"/>
      <c r="F433" s="455"/>
      <c r="G433" s="455"/>
    </row>
    <row r="434" spans="1:7" x14ac:dyDescent="0.25">
      <c r="A434" s="474" t="s">
        <v>363</v>
      </c>
      <c r="B434" s="475" t="s">
        <v>364</v>
      </c>
      <c r="C434" s="422">
        <f>C435</f>
        <v>0</v>
      </c>
      <c r="D434" s="422">
        <f t="shared" ref="D434:D440" si="342">D435</f>
        <v>150000</v>
      </c>
      <c r="E434" s="422">
        <f t="shared" ref="E434:E440" si="343">E435</f>
        <v>0</v>
      </c>
      <c r="F434" s="422">
        <f t="shared" ref="F434:F440" si="344">F435</f>
        <v>0</v>
      </c>
      <c r="G434" s="422">
        <f t="shared" ref="G434:G440" si="345">G435</f>
        <v>0</v>
      </c>
    </row>
    <row r="435" spans="1:7" x14ac:dyDescent="0.25">
      <c r="A435" s="489" t="s">
        <v>87</v>
      </c>
      <c r="B435" s="492" t="s">
        <v>88</v>
      </c>
      <c r="C435" s="426">
        <f>C436</f>
        <v>0</v>
      </c>
      <c r="D435" s="426">
        <f t="shared" si="342"/>
        <v>150000</v>
      </c>
      <c r="E435" s="426">
        <f t="shared" si="343"/>
        <v>0</v>
      </c>
      <c r="F435" s="426">
        <f t="shared" si="344"/>
        <v>0</v>
      </c>
      <c r="G435" s="426">
        <f t="shared" si="345"/>
        <v>0</v>
      </c>
    </row>
    <row r="436" spans="1:7" x14ac:dyDescent="0.25">
      <c r="A436" s="450">
        <v>32</v>
      </c>
      <c r="B436" s="451" t="s">
        <v>103</v>
      </c>
      <c r="C436" s="443">
        <f>C437+C440</f>
        <v>0</v>
      </c>
      <c r="D436" s="443">
        <f t="shared" ref="D436:G436" si="346">D437+D440</f>
        <v>150000</v>
      </c>
      <c r="E436" s="443">
        <f t="shared" si="346"/>
        <v>0</v>
      </c>
      <c r="F436" s="443">
        <f t="shared" si="346"/>
        <v>0</v>
      </c>
      <c r="G436" s="443">
        <f t="shared" si="346"/>
        <v>0</v>
      </c>
    </row>
    <row r="437" spans="1:7" x14ac:dyDescent="0.25">
      <c r="A437" s="452" t="s">
        <v>127</v>
      </c>
      <c r="B437" s="468" t="s">
        <v>128</v>
      </c>
      <c r="C437" s="415">
        <f>C438</f>
        <v>0</v>
      </c>
      <c r="D437" s="415">
        <f t="shared" ref="D437:G438" si="347">D438</f>
        <v>20000</v>
      </c>
      <c r="E437" s="415">
        <f t="shared" si="347"/>
        <v>0</v>
      </c>
      <c r="F437" s="415">
        <f t="shared" si="347"/>
        <v>0</v>
      </c>
      <c r="G437" s="415">
        <f t="shared" si="347"/>
        <v>0</v>
      </c>
    </row>
    <row r="438" spans="1:7" x14ac:dyDescent="0.25">
      <c r="A438" s="452" t="s">
        <v>218</v>
      </c>
      <c r="B438" s="468" t="s">
        <v>138</v>
      </c>
      <c r="C438" s="415">
        <f>C439</f>
        <v>0</v>
      </c>
      <c r="D438" s="415">
        <f t="shared" si="347"/>
        <v>20000</v>
      </c>
      <c r="E438" s="415">
        <f t="shared" si="347"/>
        <v>0</v>
      </c>
      <c r="F438" s="415">
        <f t="shared" si="347"/>
        <v>0</v>
      </c>
      <c r="G438" s="415">
        <f t="shared" si="347"/>
        <v>0</v>
      </c>
    </row>
    <row r="439" spans="1:7" x14ac:dyDescent="0.25">
      <c r="A439" s="454" t="s">
        <v>527</v>
      </c>
      <c r="B439" s="477" t="s">
        <v>450</v>
      </c>
      <c r="C439" s="438"/>
      <c r="D439" s="438">
        <v>20000</v>
      </c>
      <c r="E439" s="438"/>
      <c r="F439" s="438"/>
      <c r="G439" s="438"/>
    </row>
    <row r="440" spans="1:7" x14ac:dyDescent="0.25">
      <c r="A440" s="366">
        <v>325</v>
      </c>
      <c r="B440" s="461" t="s">
        <v>128</v>
      </c>
      <c r="C440" s="456">
        <f>C441</f>
        <v>0</v>
      </c>
      <c r="D440" s="456">
        <f t="shared" si="342"/>
        <v>130000</v>
      </c>
      <c r="E440" s="456">
        <f t="shared" si="343"/>
        <v>0</v>
      </c>
      <c r="F440" s="456">
        <f t="shared" si="344"/>
        <v>0</v>
      </c>
      <c r="G440" s="456">
        <f t="shared" si="345"/>
        <v>0</v>
      </c>
    </row>
    <row r="441" spans="1:7" x14ac:dyDescent="0.25">
      <c r="A441" s="366">
        <v>3251</v>
      </c>
      <c r="B441" s="461" t="s">
        <v>143</v>
      </c>
      <c r="C441" s="456">
        <f>C442+C443</f>
        <v>0</v>
      </c>
      <c r="D441" s="456">
        <f t="shared" ref="D441:G441" si="348">D442+D443</f>
        <v>130000</v>
      </c>
      <c r="E441" s="456">
        <f t="shared" si="348"/>
        <v>0</v>
      </c>
      <c r="F441" s="456">
        <f t="shared" si="348"/>
        <v>0</v>
      </c>
      <c r="G441" s="456">
        <f t="shared" si="348"/>
        <v>0</v>
      </c>
    </row>
    <row r="442" spans="1:7" x14ac:dyDescent="0.25">
      <c r="A442" s="454" t="s">
        <v>596</v>
      </c>
      <c r="B442" s="462" t="s">
        <v>598</v>
      </c>
      <c r="C442" s="455"/>
      <c r="D442" s="455">
        <v>20000</v>
      </c>
      <c r="E442" s="455"/>
      <c r="F442" s="455"/>
      <c r="G442" s="455"/>
    </row>
    <row r="443" spans="1:7" x14ac:dyDescent="0.25">
      <c r="A443" s="363">
        <v>32513</v>
      </c>
      <c r="B443" s="462" t="s">
        <v>599</v>
      </c>
      <c r="C443" s="455">
        <v>0</v>
      </c>
      <c r="D443" s="455">
        <v>110000</v>
      </c>
      <c r="E443" s="455"/>
      <c r="F443" s="455"/>
      <c r="G443" s="455"/>
    </row>
    <row r="444" spans="1:7" s="429" customFormat="1" x14ac:dyDescent="0.25">
      <c r="A444" s="490" t="s">
        <v>324</v>
      </c>
      <c r="B444" s="491" t="s">
        <v>362</v>
      </c>
      <c r="C444" s="419">
        <f t="shared" ref="C444:D444" si="349">C445</f>
        <v>366049.55000000005</v>
      </c>
      <c r="D444" s="419">
        <f t="shared" si="349"/>
        <v>304286</v>
      </c>
      <c r="E444" s="419">
        <f>E445</f>
        <v>351286</v>
      </c>
      <c r="F444" s="419">
        <f t="shared" ref="F444:G444" si="350">F445</f>
        <v>351286</v>
      </c>
      <c r="G444" s="419">
        <f t="shared" si="350"/>
        <v>351286</v>
      </c>
    </row>
    <row r="445" spans="1:7" s="429" customFormat="1" x14ac:dyDescent="0.25">
      <c r="A445" s="474" t="s">
        <v>363</v>
      </c>
      <c r="B445" s="475" t="s">
        <v>364</v>
      </c>
      <c r="C445" s="422">
        <f t="shared" ref="C445:D445" si="351">C446+C474</f>
        <v>366049.55000000005</v>
      </c>
      <c r="D445" s="422">
        <f t="shared" si="351"/>
        <v>304286</v>
      </c>
      <c r="E445" s="422">
        <f>E446+E474</f>
        <v>351286</v>
      </c>
      <c r="F445" s="422">
        <f t="shared" ref="F445:G445" si="352">F446+F474</f>
        <v>351286</v>
      </c>
      <c r="G445" s="422">
        <f t="shared" si="352"/>
        <v>351286</v>
      </c>
    </row>
    <row r="446" spans="1:7" s="429" customFormat="1" x14ac:dyDescent="0.25">
      <c r="A446" s="489" t="s">
        <v>87</v>
      </c>
      <c r="B446" s="492" t="s">
        <v>88</v>
      </c>
      <c r="C446" s="426">
        <f t="shared" ref="C446:D446" si="353">C447+C456</f>
        <v>110540.04000000001</v>
      </c>
      <c r="D446" s="426">
        <f t="shared" si="353"/>
        <v>95286</v>
      </c>
      <c r="E446" s="426">
        <f>E447+E456</f>
        <v>86010</v>
      </c>
      <c r="F446" s="426">
        <f t="shared" ref="F446:G446" si="354">F447+F456</f>
        <v>86010</v>
      </c>
      <c r="G446" s="426">
        <f t="shared" si="354"/>
        <v>86010</v>
      </c>
    </row>
    <row r="447" spans="1:7" s="429" customFormat="1" hidden="1" x14ac:dyDescent="0.25">
      <c r="A447" s="450">
        <v>31</v>
      </c>
      <c r="B447" s="451" t="s">
        <v>89</v>
      </c>
      <c r="C447" s="443">
        <f t="shared" ref="C447:D447" si="355">C448+C451+C453</f>
        <v>0</v>
      </c>
      <c r="D447" s="443">
        <f t="shared" si="355"/>
        <v>0</v>
      </c>
      <c r="E447" s="443">
        <f>E448+E451+E453</f>
        <v>0</v>
      </c>
      <c r="F447" s="443">
        <f t="shared" ref="F447:G447" si="356">F448+F451+F453</f>
        <v>0</v>
      </c>
      <c r="G447" s="443">
        <f t="shared" si="356"/>
        <v>0</v>
      </c>
    </row>
    <row r="448" spans="1:7" s="429" customFormat="1" hidden="1" x14ac:dyDescent="0.25">
      <c r="A448" s="452">
        <v>311</v>
      </c>
      <c r="B448" s="453" t="s">
        <v>90</v>
      </c>
      <c r="C448" s="415">
        <f t="shared" ref="C448:D448" si="357">C449+C450</f>
        <v>0</v>
      </c>
      <c r="D448" s="415">
        <f t="shared" si="357"/>
        <v>0</v>
      </c>
      <c r="E448" s="415">
        <f>E449+E450</f>
        <v>0</v>
      </c>
      <c r="F448" s="415">
        <f t="shared" ref="F448:G448" si="358">F449+F450</f>
        <v>0</v>
      </c>
      <c r="G448" s="415">
        <f t="shared" si="358"/>
        <v>0</v>
      </c>
    </row>
    <row r="449" spans="1:7" s="429" customFormat="1" hidden="1" x14ac:dyDescent="0.25">
      <c r="A449" s="454">
        <v>3111</v>
      </c>
      <c r="B449" s="357" t="s">
        <v>91</v>
      </c>
      <c r="C449" s="438"/>
      <c r="D449" s="438"/>
      <c r="E449" s="438"/>
      <c r="F449" s="438"/>
      <c r="G449" s="438"/>
    </row>
    <row r="450" spans="1:7" s="429" customFormat="1" hidden="1" x14ac:dyDescent="0.25">
      <c r="A450" s="454" t="s">
        <v>96</v>
      </c>
      <c r="B450" s="357" t="s">
        <v>212</v>
      </c>
      <c r="C450" s="438"/>
      <c r="D450" s="438"/>
      <c r="E450" s="438"/>
      <c r="F450" s="438"/>
      <c r="G450" s="438"/>
    </row>
    <row r="451" spans="1:7" s="413" customFormat="1" hidden="1" x14ac:dyDescent="0.25">
      <c r="A451" s="452" t="s">
        <v>98</v>
      </c>
      <c r="B451" s="453" t="s">
        <v>99</v>
      </c>
      <c r="C451" s="415">
        <f t="shared" ref="C451:D451" si="359">C452</f>
        <v>0</v>
      </c>
      <c r="D451" s="415">
        <f t="shared" si="359"/>
        <v>0</v>
      </c>
      <c r="E451" s="415">
        <f>E452</f>
        <v>0</v>
      </c>
      <c r="F451" s="415">
        <f t="shared" ref="F451:G451" si="360">F452</f>
        <v>0</v>
      </c>
      <c r="G451" s="415">
        <f t="shared" si="360"/>
        <v>0</v>
      </c>
    </row>
    <row r="452" spans="1:7" s="429" customFormat="1" hidden="1" x14ac:dyDescent="0.25">
      <c r="A452" s="454" t="s">
        <v>100</v>
      </c>
      <c r="B452" s="357" t="s">
        <v>99</v>
      </c>
      <c r="C452" s="438"/>
      <c r="D452" s="438"/>
      <c r="E452" s="438"/>
      <c r="F452" s="438"/>
      <c r="G452" s="438"/>
    </row>
    <row r="453" spans="1:7" s="413" customFormat="1" hidden="1" x14ac:dyDescent="0.25">
      <c r="A453" s="457">
        <v>313</v>
      </c>
      <c r="B453" s="453" t="s">
        <v>101</v>
      </c>
      <c r="C453" s="415">
        <f t="shared" ref="C453:D453" si="361">C454+C455</f>
        <v>0</v>
      </c>
      <c r="D453" s="415">
        <f t="shared" si="361"/>
        <v>0</v>
      </c>
      <c r="E453" s="415">
        <f>E454+E455</f>
        <v>0</v>
      </c>
      <c r="F453" s="415">
        <f t="shared" ref="F453:G453" si="362">F454+F455</f>
        <v>0</v>
      </c>
      <c r="G453" s="415">
        <f t="shared" si="362"/>
        <v>0</v>
      </c>
    </row>
    <row r="454" spans="1:7" s="429" customFormat="1" hidden="1" x14ac:dyDescent="0.25">
      <c r="A454" s="458" t="s">
        <v>226</v>
      </c>
      <c r="B454" s="357" t="s">
        <v>227</v>
      </c>
      <c r="C454" s="438"/>
      <c r="D454" s="438"/>
      <c r="E454" s="438"/>
      <c r="F454" s="438"/>
      <c r="G454" s="438"/>
    </row>
    <row r="455" spans="1:7" s="429" customFormat="1" hidden="1" x14ac:dyDescent="0.25">
      <c r="A455" s="458">
        <v>3132</v>
      </c>
      <c r="B455" s="357" t="s">
        <v>102</v>
      </c>
      <c r="C455" s="438"/>
      <c r="D455" s="438"/>
      <c r="E455" s="438"/>
      <c r="F455" s="438"/>
      <c r="G455" s="438"/>
    </row>
    <row r="456" spans="1:7" s="429" customFormat="1" x14ac:dyDescent="0.25">
      <c r="A456" s="450">
        <v>32</v>
      </c>
      <c r="B456" s="451" t="s">
        <v>103</v>
      </c>
      <c r="C456" s="443">
        <f>C457+C461+C465</f>
        <v>110540.04000000001</v>
      </c>
      <c r="D456" s="443">
        <f t="shared" ref="D456:G456" si="363">D457+D461+D463+D465</f>
        <v>95286</v>
      </c>
      <c r="E456" s="443">
        <f t="shared" si="363"/>
        <v>86010</v>
      </c>
      <c r="F456" s="443">
        <f t="shared" si="363"/>
        <v>86010</v>
      </c>
      <c r="G456" s="443">
        <f t="shared" si="363"/>
        <v>86010</v>
      </c>
    </row>
    <row r="457" spans="1:7" s="429" customFormat="1" hidden="1" x14ac:dyDescent="0.25">
      <c r="A457" s="452">
        <v>321</v>
      </c>
      <c r="B457" s="453" t="s">
        <v>104</v>
      </c>
      <c r="C457" s="415">
        <f t="shared" ref="C457:D457" si="364">SUM(C458:C460)</f>
        <v>0</v>
      </c>
      <c r="D457" s="415">
        <f t="shared" si="364"/>
        <v>0</v>
      </c>
      <c r="E457" s="415">
        <f>SUM(E458:E460)</f>
        <v>0</v>
      </c>
      <c r="F457" s="415">
        <f t="shared" ref="F457:G457" si="365">SUM(F458:F460)</f>
        <v>0</v>
      </c>
      <c r="G457" s="415">
        <f t="shared" si="365"/>
        <v>0</v>
      </c>
    </row>
    <row r="458" spans="1:7" s="429" customFormat="1" hidden="1" x14ac:dyDescent="0.25">
      <c r="A458" s="454" t="s">
        <v>105</v>
      </c>
      <c r="B458" s="357" t="s">
        <v>106</v>
      </c>
      <c r="C458" s="438"/>
      <c r="D458" s="438"/>
      <c r="E458" s="438"/>
      <c r="F458" s="438"/>
      <c r="G458" s="438"/>
    </row>
    <row r="459" spans="1:7" s="429" customFormat="1" hidden="1" x14ac:dyDescent="0.25">
      <c r="A459" s="454" t="s">
        <v>107</v>
      </c>
      <c r="B459" s="358" t="s">
        <v>108</v>
      </c>
      <c r="C459" s="438"/>
      <c r="D459" s="438"/>
      <c r="E459" s="438"/>
      <c r="F459" s="438"/>
      <c r="G459" s="438"/>
    </row>
    <row r="460" spans="1:7" hidden="1" x14ac:dyDescent="0.25">
      <c r="A460" s="454" t="s">
        <v>109</v>
      </c>
      <c r="B460" s="358" t="s">
        <v>110</v>
      </c>
      <c r="C460" s="438"/>
      <c r="D460" s="438"/>
      <c r="E460" s="438"/>
      <c r="F460" s="438"/>
      <c r="G460" s="438"/>
    </row>
    <row r="461" spans="1:7" s="416" customFormat="1" x14ac:dyDescent="0.25">
      <c r="A461" s="452" t="s">
        <v>113</v>
      </c>
      <c r="B461" s="359" t="s">
        <v>114</v>
      </c>
      <c r="C461" s="415">
        <f>C463</f>
        <v>4000</v>
      </c>
      <c r="D461" s="415">
        <f t="shared" ref="D461" si="366">D462</f>
        <v>0</v>
      </c>
      <c r="E461" s="415">
        <f>E462</f>
        <v>0</v>
      </c>
      <c r="F461" s="415">
        <f t="shared" ref="F461:G461" si="367">F462</f>
        <v>0</v>
      </c>
      <c r="G461" s="415">
        <f t="shared" si="367"/>
        <v>0</v>
      </c>
    </row>
    <row r="462" spans="1:7" hidden="1" x14ac:dyDescent="0.25">
      <c r="A462" s="454" t="s">
        <v>119</v>
      </c>
      <c r="B462" s="358" t="s">
        <v>120</v>
      </c>
      <c r="C462" s="438"/>
      <c r="D462" s="438"/>
      <c r="E462" s="438"/>
      <c r="F462" s="438"/>
      <c r="G462" s="438"/>
    </row>
    <row r="463" spans="1:7" s="416" customFormat="1" x14ac:dyDescent="0.25">
      <c r="A463" s="452" t="s">
        <v>121</v>
      </c>
      <c r="B463" s="359" t="s">
        <v>122</v>
      </c>
      <c r="C463" s="415">
        <f>C464</f>
        <v>4000</v>
      </c>
      <c r="D463" s="415">
        <f t="shared" ref="D463:G463" si="368">D464</f>
        <v>0</v>
      </c>
      <c r="E463" s="415">
        <f t="shared" si="368"/>
        <v>0</v>
      </c>
      <c r="F463" s="415">
        <f t="shared" si="368"/>
        <v>0</v>
      </c>
      <c r="G463" s="415">
        <f t="shared" si="368"/>
        <v>0</v>
      </c>
    </row>
    <row r="464" spans="1:7" x14ac:dyDescent="0.25">
      <c r="A464" s="454">
        <v>32241</v>
      </c>
      <c r="B464" s="357" t="s">
        <v>435</v>
      </c>
      <c r="C464" s="438">
        <v>4000</v>
      </c>
      <c r="D464" s="438">
        <v>0</v>
      </c>
      <c r="E464" s="438"/>
      <c r="F464" s="438"/>
      <c r="G464" s="438"/>
    </row>
    <row r="465" spans="1:7" s="416" customFormat="1" x14ac:dyDescent="0.25">
      <c r="A465" s="452" t="s">
        <v>127</v>
      </c>
      <c r="B465" s="359" t="s">
        <v>128</v>
      </c>
      <c r="C465" s="415">
        <f t="shared" ref="C465:D465" si="369">C466+C470+C471+C472</f>
        <v>106540.04000000001</v>
      </c>
      <c r="D465" s="415">
        <f t="shared" si="369"/>
        <v>95286</v>
      </c>
      <c r="E465" s="415">
        <f>E466+E470+E471+E472</f>
        <v>86010</v>
      </c>
      <c r="F465" s="415">
        <f t="shared" ref="F465:G465" si="370">F466+F470+F471+F472</f>
        <v>86010</v>
      </c>
      <c r="G465" s="415">
        <f t="shared" si="370"/>
        <v>86010</v>
      </c>
    </row>
    <row r="466" spans="1:7" s="416" customFormat="1" x14ac:dyDescent="0.25">
      <c r="A466" s="452" t="s">
        <v>131</v>
      </c>
      <c r="B466" s="359" t="s">
        <v>132</v>
      </c>
      <c r="C466" s="415">
        <f t="shared" ref="C466:D466" si="371">SUM(C467:C469)</f>
        <v>64234.04</v>
      </c>
      <c r="D466" s="415">
        <f t="shared" si="371"/>
        <v>55286</v>
      </c>
      <c r="E466" s="415">
        <f>SUM(E467:E469)</f>
        <v>46010</v>
      </c>
      <c r="F466" s="415">
        <f t="shared" ref="F466:G466" si="372">SUM(F467:F469)</f>
        <v>46010</v>
      </c>
      <c r="G466" s="415">
        <f t="shared" si="372"/>
        <v>46010</v>
      </c>
    </row>
    <row r="467" spans="1:7" s="416" customFormat="1" x14ac:dyDescent="0.25">
      <c r="A467" s="454">
        <v>32321</v>
      </c>
      <c r="B467" s="358" t="s">
        <v>442</v>
      </c>
      <c r="C467" s="438">
        <v>15000</v>
      </c>
      <c r="D467" s="438">
        <v>20000</v>
      </c>
      <c r="E467" s="438">
        <v>20641</v>
      </c>
      <c r="F467" s="438">
        <v>20641</v>
      </c>
      <c r="G467" s="438">
        <v>20641</v>
      </c>
    </row>
    <row r="468" spans="1:7" s="416" customFormat="1" x14ac:dyDescent="0.25">
      <c r="A468" s="454">
        <v>32322</v>
      </c>
      <c r="B468" s="358" t="s">
        <v>443</v>
      </c>
      <c r="C468" s="438">
        <v>8000</v>
      </c>
      <c r="D468" s="438">
        <v>10000</v>
      </c>
      <c r="E468" s="438">
        <v>10760</v>
      </c>
      <c r="F468" s="438">
        <v>10760</v>
      </c>
      <c r="G468" s="438">
        <v>10760</v>
      </c>
    </row>
    <row r="469" spans="1:7" x14ac:dyDescent="0.25">
      <c r="A469" s="454">
        <v>32323</v>
      </c>
      <c r="B469" s="358" t="s">
        <v>441</v>
      </c>
      <c r="C469" s="438">
        <v>41234.04</v>
      </c>
      <c r="D469" s="438">
        <v>25286</v>
      </c>
      <c r="E469" s="438">
        <v>14609</v>
      </c>
      <c r="F469" s="439">
        <v>14609</v>
      </c>
      <c r="G469" s="438">
        <v>14609</v>
      </c>
    </row>
    <row r="470" spans="1:7" hidden="1" x14ac:dyDescent="0.25">
      <c r="A470" s="452" t="s">
        <v>133</v>
      </c>
      <c r="B470" s="359" t="s">
        <v>134</v>
      </c>
      <c r="C470" s="415"/>
      <c r="D470" s="415"/>
      <c r="E470" s="415"/>
      <c r="F470" s="415"/>
      <c r="G470" s="415"/>
    </row>
    <row r="471" spans="1:7" hidden="1" x14ac:dyDescent="0.25">
      <c r="A471" s="452" t="s">
        <v>219</v>
      </c>
      <c r="B471" s="359" t="s">
        <v>139</v>
      </c>
      <c r="C471" s="415"/>
      <c r="D471" s="415"/>
      <c r="E471" s="415"/>
      <c r="F471" s="415"/>
      <c r="G471" s="415"/>
    </row>
    <row r="472" spans="1:7" x14ac:dyDescent="0.25">
      <c r="A472" s="452" t="s">
        <v>140</v>
      </c>
      <c r="B472" s="359" t="s">
        <v>141</v>
      </c>
      <c r="C472" s="415">
        <f t="shared" ref="C472:D472" si="373">SUM(C473)</f>
        <v>42306</v>
      </c>
      <c r="D472" s="415">
        <f t="shared" si="373"/>
        <v>40000</v>
      </c>
      <c r="E472" s="415">
        <f>SUM(E473)</f>
        <v>40000</v>
      </c>
      <c r="F472" s="415">
        <f t="shared" ref="F472:G472" si="374">SUM(F473)</f>
        <v>40000</v>
      </c>
      <c r="G472" s="415">
        <f t="shared" si="374"/>
        <v>40000</v>
      </c>
    </row>
    <row r="473" spans="1:7" x14ac:dyDescent="0.25">
      <c r="A473" s="454" t="s">
        <v>533</v>
      </c>
      <c r="B473" s="358" t="s">
        <v>453</v>
      </c>
      <c r="C473" s="438">
        <v>42306</v>
      </c>
      <c r="D473" s="438">
        <v>40000</v>
      </c>
      <c r="E473" s="438">
        <v>40000</v>
      </c>
      <c r="F473" s="438">
        <v>40000</v>
      </c>
      <c r="G473" s="438">
        <v>40000</v>
      </c>
    </row>
    <row r="474" spans="1:7" x14ac:dyDescent="0.25">
      <c r="A474" s="424">
        <v>4</v>
      </c>
      <c r="B474" s="425" t="s">
        <v>175</v>
      </c>
      <c r="C474" s="426">
        <f t="shared" ref="C474:D474" si="375">SUM(C475,C486)</f>
        <v>255509.51</v>
      </c>
      <c r="D474" s="426">
        <f t="shared" si="375"/>
        <v>209000</v>
      </c>
      <c r="E474" s="426">
        <f>SUM(E475,E486)</f>
        <v>265276</v>
      </c>
      <c r="F474" s="426">
        <f t="shared" ref="F474:G474" si="376">SUM(F475,F486)</f>
        <v>265276</v>
      </c>
      <c r="G474" s="426">
        <f t="shared" si="376"/>
        <v>265276</v>
      </c>
    </row>
    <row r="475" spans="1:7" x14ac:dyDescent="0.25">
      <c r="A475" s="465">
        <v>42</v>
      </c>
      <c r="B475" s="493" t="s">
        <v>365</v>
      </c>
      <c r="C475" s="443">
        <f t="shared" ref="C475:D475" si="377">C476</f>
        <v>108623.04000000001</v>
      </c>
      <c r="D475" s="443">
        <f t="shared" si="377"/>
        <v>178000</v>
      </c>
      <c r="E475" s="443">
        <f>E476</f>
        <v>180994.84</v>
      </c>
      <c r="F475" s="443">
        <f t="shared" ref="F475:G475" si="378">F476</f>
        <v>180994.84</v>
      </c>
      <c r="G475" s="443">
        <f t="shared" si="378"/>
        <v>180994.84</v>
      </c>
    </row>
    <row r="476" spans="1:7" x14ac:dyDescent="0.25">
      <c r="A476" s="366">
        <v>422</v>
      </c>
      <c r="B476" s="468" t="s">
        <v>185</v>
      </c>
      <c r="C476" s="415">
        <f t="shared" ref="C476:D476" si="379">C477+C480+C482+C484</f>
        <v>108623.04000000001</v>
      </c>
      <c r="D476" s="415">
        <f t="shared" si="379"/>
        <v>178000</v>
      </c>
      <c r="E476" s="415">
        <f>E477+E480+E482+E484</f>
        <v>180994.84</v>
      </c>
      <c r="F476" s="415">
        <f t="shared" ref="F476:G476" si="380">F477+F480+F482+F484</f>
        <v>180994.84</v>
      </c>
      <c r="G476" s="415">
        <f t="shared" si="380"/>
        <v>180994.84</v>
      </c>
    </row>
    <row r="477" spans="1:7" x14ac:dyDescent="0.25">
      <c r="A477" s="366">
        <v>4221</v>
      </c>
      <c r="B477" s="468" t="s">
        <v>187</v>
      </c>
      <c r="C477" s="415">
        <f t="shared" ref="C477:D477" si="381">SUM(C478:C479)</f>
        <v>950.63</v>
      </c>
      <c r="D477" s="415">
        <f t="shared" si="381"/>
        <v>6000</v>
      </c>
      <c r="E477" s="415">
        <f>SUM(E478:E479)</f>
        <v>315</v>
      </c>
      <c r="F477" s="415">
        <f t="shared" ref="F477:G477" si="382">SUM(F478:F479)</f>
        <v>315</v>
      </c>
      <c r="G477" s="415">
        <f t="shared" si="382"/>
        <v>315</v>
      </c>
    </row>
    <row r="478" spans="1:7" x14ac:dyDescent="0.25">
      <c r="A478" s="363">
        <v>42211</v>
      </c>
      <c r="B478" s="477" t="s">
        <v>473</v>
      </c>
      <c r="C478" s="438">
        <v>370.63</v>
      </c>
      <c r="D478" s="438">
        <v>5000</v>
      </c>
      <c r="E478" s="438">
        <v>0</v>
      </c>
      <c r="F478" s="438">
        <v>0</v>
      </c>
      <c r="G478" s="438">
        <v>0</v>
      </c>
    </row>
    <row r="479" spans="1:7" x14ac:dyDescent="0.25">
      <c r="A479" s="363">
        <v>42212</v>
      </c>
      <c r="B479" s="477" t="s">
        <v>474</v>
      </c>
      <c r="C479" s="438">
        <v>580</v>
      </c>
      <c r="D479" s="438">
        <v>1000</v>
      </c>
      <c r="E479" s="438">
        <v>315</v>
      </c>
      <c r="F479" s="438">
        <v>315</v>
      </c>
      <c r="G479" s="438">
        <v>315</v>
      </c>
    </row>
    <row r="480" spans="1:7" x14ac:dyDescent="0.25">
      <c r="A480" s="366">
        <v>4223</v>
      </c>
      <c r="B480" s="468" t="s">
        <v>190</v>
      </c>
      <c r="C480" s="415">
        <f t="shared" ref="C480:D480" si="383">C481</f>
        <v>3832.41</v>
      </c>
      <c r="D480" s="415">
        <f t="shared" si="383"/>
        <v>3000</v>
      </c>
      <c r="E480" s="415">
        <f>E481</f>
        <v>2816.73</v>
      </c>
      <c r="F480" s="415">
        <f t="shared" ref="F480:G480" si="384">F481</f>
        <v>2816.73</v>
      </c>
      <c r="G480" s="415">
        <f t="shared" si="384"/>
        <v>2816.73</v>
      </c>
    </row>
    <row r="481" spans="1:7" x14ac:dyDescent="0.25">
      <c r="A481" s="363">
        <v>42231</v>
      </c>
      <c r="B481" s="477" t="s">
        <v>477</v>
      </c>
      <c r="C481" s="438">
        <v>3832.41</v>
      </c>
      <c r="D481" s="438">
        <v>3000</v>
      </c>
      <c r="E481" s="438">
        <v>2816.73</v>
      </c>
      <c r="F481" s="438">
        <v>2816.73</v>
      </c>
      <c r="G481" s="438">
        <v>2816.73</v>
      </c>
    </row>
    <row r="482" spans="1:7" x14ac:dyDescent="0.25">
      <c r="A482" s="366">
        <v>4224</v>
      </c>
      <c r="B482" s="468" t="s">
        <v>191</v>
      </c>
      <c r="C482" s="415">
        <f t="shared" ref="C482:D482" si="385">SUM(C483)</f>
        <v>59927.5</v>
      </c>
      <c r="D482" s="415">
        <f t="shared" si="385"/>
        <v>134000</v>
      </c>
      <c r="E482" s="415">
        <f>SUM(E483)</f>
        <v>146018.10999999999</v>
      </c>
      <c r="F482" s="415">
        <f t="shared" ref="F482:G482" si="386">SUM(F483)</f>
        <v>146018.10999999999</v>
      </c>
      <c r="G482" s="415">
        <f t="shared" si="386"/>
        <v>146018.10999999999</v>
      </c>
    </row>
    <row r="483" spans="1:7" x14ac:dyDescent="0.25">
      <c r="A483" s="363">
        <v>42241</v>
      </c>
      <c r="B483" s="477" t="s">
        <v>478</v>
      </c>
      <c r="C483" s="438">
        <v>59927.5</v>
      </c>
      <c r="D483" s="438">
        <v>134000</v>
      </c>
      <c r="E483" s="438">
        <v>146018.10999999999</v>
      </c>
      <c r="F483" s="438">
        <v>146018.10999999999</v>
      </c>
      <c r="G483" s="438">
        <v>146018.10999999999</v>
      </c>
    </row>
    <row r="484" spans="1:7" x14ac:dyDescent="0.25">
      <c r="A484" s="366">
        <v>4225</v>
      </c>
      <c r="B484" s="468" t="s">
        <v>192</v>
      </c>
      <c r="C484" s="415">
        <f t="shared" ref="C484:D484" si="387">SUM(C485)</f>
        <v>43912.5</v>
      </c>
      <c r="D484" s="415">
        <f t="shared" si="387"/>
        <v>35000</v>
      </c>
      <c r="E484" s="415">
        <f>SUM(E485)</f>
        <v>31845</v>
      </c>
      <c r="F484" s="415">
        <f t="shared" ref="F484:G484" si="388">SUM(F485)</f>
        <v>31845</v>
      </c>
      <c r="G484" s="415">
        <f t="shared" si="388"/>
        <v>31845</v>
      </c>
    </row>
    <row r="485" spans="1:7" x14ac:dyDescent="0.25">
      <c r="A485" s="363">
        <v>42259</v>
      </c>
      <c r="B485" s="477" t="s">
        <v>579</v>
      </c>
      <c r="C485" s="438">
        <v>43912.5</v>
      </c>
      <c r="D485" s="438">
        <v>35000</v>
      </c>
      <c r="E485" s="438">
        <v>31845</v>
      </c>
      <c r="F485" s="438">
        <v>31845</v>
      </c>
      <c r="G485" s="438">
        <v>31845</v>
      </c>
    </row>
    <row r="486" spans="1:7" x14ac:dyDescent="0.25">
      <c r="A486" s="450" t="s">
        <v>197</v>
      </c>
      <c r="B486" s="469" t="s">
        <v>200</v>
      </c>
      <c r="C486" s="443">
        <f t="shared" ref="C486:D488" si="389">SUM(C487)</f>
        <v>146886.47</v>
      </c>
      <c r="D486" s="443">
        <f t="shared" si="389"/>
        <v>31000</v>
      </c>
      <c r="E486" s="443">
        <f>SUM(E487)</f>
        <v>84281.16</v>
      </c>
      <c r="F486" s="443">
        <f t="shared" ref="F486:G488" si="390">SUM(F487)</f>
        <v>84281.16</v>
      </c>
      <c r="G486" s="443">
        <f t="shared" si="390"/>
        <v>84281.16</v>
      </c>
    </row>
    <row r="487" spans="1:7" x14ac:dyDescent="0.25">
      <c r="A487" s="452" t="s">
        <v>199</v>
      </c>
      <c r="B487" s="453" t="s">
        <v>208</v>
      </c>
      <c r="C487" s="415">
        <f t="shared" si="389"/>
        <v>146886.47</v>
      </c>
      <c r="D487" s="415">
        <f t="shared" si="389"/>
        <v>31000</v>
      </c>
      <c r="E487" s="415">
        <f>SUM(E488)</f>
        <v>84281.16</v>
      </c>
      <c r="F487" s="415">
        <f t="shared" si="390"/>
        <v>84281.16</v>
      </c>
      <c r="G487" s="415">
        <f t="shared" si="390"/>
        <v>84281.16</v>
      </c>
    </row>
    <row r="488" spans="1:7" x14ac:dyDescent="0.25">
      <c r="A488" s="452" t="s">
        <v>201</v>
      </c>
      <c r="B488" s="453" t="s">
        <v>200</v>
      </c>
      <c r="C488" s="415">
        <f t="shared" si="389"/>
        <v>146886.47</v>
      </c>
      <c r="D488" s="415">
        <f t="shared" si="389"/>
        <v>31000</v>
      </c>
      <c r="E488" s="415">
        <f>SUM(E489)</f>
        <v>84281.16</v>
      </c>
      <c r="F488" s="415">
        <f t="shared" si="390"/>
        <v>84281.16</v>
      </c>
      <c r="G488" s="415">
        <f t="shared" si="390"/>
        <v>84281.16</v>
      </c>
    </row>
    <row r="489" spans="1:7" x14ac:dyDescent="0.25">
      <c r="A489" s="454" t="s">
        <v>523</v>
      </c>
      <c r="B489" s="357" t="s">
        <v>200</v>
      </c>
      <c r="C489" s="438">
        <v>146886.47</v>
      </c>
      <c r="D489" s="438">
        <v>31000</v>
      </c>
      <c r="E489" s="438">
        <v>84281.16</v>
      </c>
      <c r="F489" s="438">
        <v>84281.16</v>
      </c>
      <c r="G489" s="438">
        <v>84281.16</v>
      </c>
    </row>
    <row r="490" spans="1:7" s="429" customFormat="1" ht="31.5" x14ac:dyDescent="0.25">
      <c r="A490" s="490" t="s">
        <v>324</v>
      </c>
      <c r="B490" s="491" t="s">
        <v>366</v>
      </c>
      <c r="C490" s="419">
        <f t="shared" ref="C490:G491" si="391">C491</f>
        <v>3185.28</v>
      </c>
      <c r="D490" s="419">
        <f t="shared" si="391"/>
        <v>0</v>
      </c>
      <c r="E490" s="419">
        <f t="shared" si="391"/>
        <v>0</v>
      </c>
      <c r="F490" s="419">
        <f t="shared" si="391"/>
        <v>0</v>
      </c>
      <c r="G490" s="419">
        <f t="shared" si="391"/>
        <v>0</v>
      </c>
    </row>
    <row r="491" spans="1:7" s="440" customFormat="1" x14ac:dyDescent="0.25">
      <c r="A491" s="474" t="s">
        <v>363</v>
      </c>
      <c r="B491" s="475" t="s">
        <v>364</v>
      </c>
      <c r="C491" s="422">
        <f t="shared" si="391"/>
        <v>3185.28</v>
      </c>
      <c r="D491" s="422">
        <f t="shared" si="391"/>
        <v>0</v>
      </c>
      <c r="E491" s="422">
        <f t="shared" si="391"/>
        <v>0</v>
      </c>
      <c r="F491" s="422">
        <f t="shared" si="391"/>
        <v>0</v>
      </c>
      <c r="G491" s="422">
        <f t="shared" si="391"/>
        <v>0</v>
      </c>
    </row>
    <row r="492" spans="1:7" s="441" customFormat="1" x14ac:dyDescent="0.25">
      <c r="A492" s="489" t="s">
        <v>87</v>
      </c>
      <c r="B492" s="492" t="s">
        <v>88</v>
      </c>
      <c r="C492" s="426">
        <f t="shared" ref="C492:D492" si="392">C493+C502</f>
        <v>3185.28</v>
      </c>
      <c r="D492" s="426">
        <f t="shared" si="392"/>
        <v>0</v>
      </c>
      <c r="E492" s="426">
        <f>E493+E502</f>
        <v>0</v>
      </c>
      <c r="F492" s="426">
        <f t="shared" ref="F492:G492" si="393">F493+F502</f>
        <v>0</v>
      </c>
      <c r="G492" s="426">
        <f t="shared" si="393"/>
        <v>0</v>
      </c>
    </row>
    <row r="493" spans="1:7" x14ac:dyDescent="0.25">
      <c r="A493" s="450">
        <v>31</v>
      </c>
      <c r="B493" s="451" t="s">
        <v>89</v>
      </c>
      <c r="C493" s="443">
        <f t="shared" ref="C493:D493" si="394">C494+C497+C499</f>
        <v>3185.28</v>
      </c>
      <c r="D493" s="443">
        <f t="shared" si="394"/>
        <v>0</v>
      </c>
      <c r="E493" s="443">
        <f>E494+E497+E499</f>
        <v>0</v>
      </c>
      <c r="F493" s="443">
        <f t="shared" ref="F493:G493" si="395">F494+F497+F499</f>
        <v>0</v>
      </c>
      <c r="G493" s="443">
        <f t="shared" si="395"/>
        <v>0</v>
      </c>
    </row>
    <row r="494" spans="1:7" x14ac:dyDescent="0.25">
      <c r="A494" s="452">
        <v>311</v>
      </c>
      <c r="B494" s="453" t="s">
        <v>90</v>
      </c>
      <c r="C494" s="415">
        <f t="shared" ref="C494:D495" si="396">SUM(C495)</f>
        <v>2734.15</v>
      </c>
      <c r="D494" s="415">
        <f t="shared" si="396"/>
        <v>0</v>
      </c>
      <c r="E494" s="415">
        <f>SUM(E495)</f>
        <v>0</v>
      </c>
      <c r="F494" s="415">
        <f t="shared" ref="F494:G494" si="397">F496</f>
        <v>0</v>
      </c>
      <c r="G494" s="415">
        <f t="shared" si="397"/>
        <v>0</v>
      </c>
    </row>
    <row r="495" spans="1:7" x14ac:dyDescent="0.25">
      <c r="A495" s="452">
        <v>3111</v>
      </c>
      <c r="B495" s="453" t="s">
        <v>91</v>
      </c>
      <c r="C495" s="415">
        <f t="shared" si="396"/>
        <v>2734.15</v>
      </c>
      <c r="D495" s="415">
        <f t="shared" si="396"/>
        <v>0</v>
      </c>
      <c r="E495" s="415">
        <f>SUM(E496)</f>
        <v>0</v>
      </c>
      <c r="F495" s="415">
        <f t="shared" ref="F495:G495" si="398">SUM(F496)</f>
        <v>0</v>
      </c>
      <c r="G495" s="415">
        <f t="shared" si="398"/>
        <v>0</v>
      </c>
    </row>
    <row r="496" spans="1:7" x14ac:dyDescent="0.25">
      <c r="A496" s="454" t="s">
        <v>494</v>
      </c>
      <c r="B496" s="357" t="s">
        <v>91</v>
      </c>
      <c r="C496" s="438">
        <v>2734.15</v>
      </c>
      <c r="D496" s="438">
        <v>0</v>
      </c>
      <c r="E496" s="438">
        <v>0</v>
      </c>
      <c r="F496" s="438">
        <v>0</v>
      </c>
      <c r="G496" s="438">
        <v>0</v>
      </c>
    </row>
    <row r="497" spans="1:7" hidden="1" x14ac:dyDescent="0.25">
      <c r="A497" s="452" t="s">
        <v>98</v>
      </c>
      <c r="B497" s="453" t="s">
        <v>99</v>
      </c>
      <c r="C497" s="415">
        <f t="shared" ref="C497:D497" si="399">C498</f>
        <v>0</v>
      </c>
      <c r="D497" s="415">
        <f t="shared" si="399"/>
        <v>0</v>
      </c>
      <c r="E497" s="415">
        <f>E498</f>
        <v>0</v>
      </c>
      <c r="F497" s="415">
        <f t="shared" ref="F497:G497" si="400">F498</f>
        <v>0</v>
      </c>
      <c r="G497" s="415">
        <f t="shared" si="400"/>
        <v>0</v>
      </c>
    </row>
    <row r="498" spans="1:7" hidden="1" x14ac:dyDescent="0.25">
      <c r="A498" s="454" t="s">
        <v>100</v>
      </c>
      <c r="B498" s="357" t="s">
        <v>99</v>
      </c>
      <c r="C498" s="438"/>
      <c r="D498" s="438"/>
      <c r="E498" s="438"/>
      <c r="F498" s="438"/>
      <c r="G498" s="438"/>
    </row>
    <row r="499" spans="1:7" x14ac:dyDescent="0.25">
      <c r="A499" s="452" t="s">
        <v>213</v>
      </c>
      <c r="B499" s="453" t="s">
        <v>101</v>
      </c>
      <c r="C499" s="415">
        <f t="shared" ref="C499:D500" si="401">SUM(C500)</f>
        <v>451.13</v>
      </c>
      <c r="D499" s="415">
        <f t="shared" si="401"/>
        <v>0</v>
      </c>
      <c r="E499" s="415">
        <f>SUM(E500)</f>
        <v>0</v>
      </c>
      <c r="F499" s="415">
        <f t="shared" ref="F499:G500" si="402">SUM(F500)</f>
        <v>0</v>
      </c>
      <c r="G499" s="415">
        <f t="shared" si="402"/>
        <v>0</v>
      </c>
    </row>
    <row r="500" spans="1:7" x14ac:dyDescent="0.25">
      <c r="A500" s="452" t="s">
        <v>214</v>
      </c>
      <c r="B500" s="453" t="s">
        <v>102</v>
      </c>
      <c r="C500" s="415">
        <f t="shared" si="401"/>
        <v>451.13</v>
      </c>
      <c r="D500" s="415">
        <f t="shared" si="401"/>
        <v>0</v>
      </c>
      <c r="E500" s="415">
        <f>SUM(E501)</f>
        <v>0</v>
      </c>
      <c r="F500" s="415">
        <f t="shared" si="402"/>
        <v>0</v>
      </c>
      <c r="G500" s="415">
        <f t="shared" si="402"/>
        <v>0</v>
      </c>
    </row>
    <row r="501" spans="1:7" x14ac:dyDescent="0.25">
      <c r="A501" s="454" t="s">
        <v>504</v>
      </c>
      <c r="B501" s="357" t="s">
        <v>102</v>
      </c>
      <c r="C501" s="438">
        <v>451.13</v>
      </c>
      <c r="D501" s="438">
        <v>0</v>
      </c>
      <c r="E501" s="438">
        <v>0</v>
      </c>
      <c r="F501" s="438">
        <v>0</v>
      </c>
      <c r="G501" s="438">
        <v>0</v>
      </c>
    </row>
    <row r="502" spans="1:7" s="442" customFormat="1" hidden="1" x14ac:dyDescent="0.25">
      <c r="A502" s="450" t="s">
        <v>367</v>
      </c>
      <c r="B502" s="481" t="s">
        <v>103</v>
      </c>
      <c r="C502" s="443">
        <f t="shared" ref="C502:D502" si="403">C503+C505+C507</f>
        <v>0</v>
      </c>
      <c r="D502" s="443">
        <f t="shared" si="403"/>
        <v>0</v>
      </c>
      <c r="E502" s="443">
        <f>E503+E505+E507</f>
        <v>0</v>
      </c>
      <c r="F502" s="443">
        <f t="shared" ref="F502:G502" si="404">F503+F505+F507</f>
        <v>0</v>
      </c>
      <c r="G502" s="443">
        <f t="shared" si="404"/>
        <v>0</v>
      </c>
    </row>
    <row r="503" spans="1:7" s="416" customFormat="1" hidden="1" x14ac:dyDescent="0.25">
      <c r="A503" s="452" t="s">
        <v>216</v>
      </c>
      <c r="B503" s="453" t="s">
        <v>104</v>
      </c>
      <c r="C503" s="415">
        <f t="shared" ref="C503:D503" si="405">C504</f>
        <v>0</v>
      </c>
      <c r="D503" s="415">
        <f t="shared" si="405"/>
        <v>0</v>
      </c>
      <c r="E503" s="415">
        <f>E504</f>
        <v>0</v>
      </c>
      <c r="F503" s="415">
        <f t="shared" ref="F503:G503" si="406">F504</f>
        <v>0</v>
      </c>
      <c r="G503" s="415">
        <f t="shared" si="406"/>
        <v>0</v>
      </c>
    </row>
    <row r="504" spans="1:7" hidden="1" x14ac:dyDescent="0.25">
      <c r="A504" s="454" t="s">
        <v>107</v>
      </c>
      <c r="B504" s="357" t="s">
        <v>108</v>
      </c>
      <c r="C504" s="438"/>
      <c r="D504" s="438"/>
      <c r="E504" s="438"/>
      <c r="F504" s="438"/>
      <c r="G504" s="438"/>
    </row>
    <row r="505" spans="1:7" s="416" customFormat="1" hidden="1" x14ac:dyDescent="0.25">
      <c r="A505" s="452" t="s">
        <v>113</v>
      </c>
      <c r="B505" s="453" t="s">
        <v>114</v>
      </c>
      <c r="C505" s="415">
        <f t="shared" ref="C505:D505" si="407">C506</f>
        <v>0</v>
      </c>
      <c r="D505" s="415">
        <f t="shared" si="407"/>
        <v>0</v>
      </c>
      <c r="E505" s="415">
        <f>E506</f>
        <v>0</v>
      </c>
      <c r="F505" s="415">
        <f t="shared" ref="F505:G505" si="408">F506</f>
        <v>0</v>
      </c>
      <c r="G505" s="415">
        <f t="shared" si="408"/>
        <v>0</v>
      </c>
    </row>
    <row r="506" spans="1:7" hidden="1" x14ac:dyDescent="0.25">
      <c r="A506" s="454" t="s">
        <v>119</v>
      </c>
      <c r="B506" s="357" t="s">
        <v>120</v>
      </c>
      <c r="C506" s="438"/>
      <c r="D506" s="438"/>
      <c r="E506" s="438"/>
      <c r="F506" s="438"/>
      <c r="G506" s="438"/>
    </row>
    <row r="507" spans="1:7" s="416" customFormat="1" hidden="1" x14ac:dyDescent="0.25">
      <c r="A507" s="452" t="s">
        <v>127</v>
      </c>
      <c r="B507" s="453" t="s">
        <v>128</v>
      </c>
      <c r="C507" s="415">
        <f t="shared" ref="C507:D507" si="409">C508</f>
        <v>0</v>
      </c>
      <c r="D507" s="415">
        <f t="shared" si="409"/>
        <v>0</v>
      </c>
      <c r="E507" s="415">
        <f>E508</f>
        <v>0</v>
      </c>
      <c r="F507" s="415">
        <f t="shared" ref="F507:G507" si="410">F508</f>
        <v>0</v>
      </c>
      <c r="G507" s="415">
        <f t="shared" si="410"/>
        <v>0</v>
      </c>
    </row>
    <row r="508" spans="1:7" hidden="1" x14ac:dyDescent="0.25">
      <c r="A508" s="454" t="s">
        <v>133</v>
      </c>
      <c r="B508" s="357" t="s">
        <v>134</v>
      </c>
      <c r="C508" s="438"/>
      <c r="D508" s="438"/>
      <c r="E508" s="438"/>
      <c r="F508" s="438"/>
      <c r="G508" s="438"/>
    </row>
    <row r="509" spans="1:7" s="429" customFormat="1" ht="47.25" x14ac:dyDescent="0.25">
      <c r="A509" s="490" t="s">
        <v>324</v>
      </c>
      <c r="B509" s="491" t="s">
        <v>368</v>
      </c>
      <c r="C509" s="419">
        <f t="shared" ref="C509:D510" si="411">C510</f>
        <v>4778.0199999999995</v>
      </c>
      <c r="D509" s="419">
        <f t="shared" si="411"/>
        <v>4778.0199999999995</v>
      </c>
      <c r="E509" s="419">
        <f>E510</f>
        <v>4778.0199999999995</v>
      </c>
      <c r="F509" s="419">
        <f t="shared" ref="F509:G510" si="412">F510</f>
        <v>4778.0199999999995</v>
      </c>
      <c r="G509" s="419">
        <f t="shared" si="412"/>
        <v>4778.0199999999995</v>
      </c>
    </row>
    <row r="510" spans="1:7" s="440" customFormat="1" x14ac:dyDescent="0.25">
      <c r="A510" s="474" t="s">
        <v>363</v>
      </c>
      <c r="B510" s="475" t="s">
        <v>364</v>
      </c>
      <c r="C510" s="422">
        <f t="shared" si="411"/>
        <v>4778.0199999999995</v>
      </c>
      <c r="D510" s="422">
        <f t="shared" si="411"/>
        <v>4778.0199999999995</v>
      </c>
      <c r="E510" s="422">
        <f>E511</f>
        <v>4778.0199999999995</v>
      </c>
      <c r="F510" s="422">
        <f t="shared" si="412"/>
        <v>4778.0199999999995</v>
      </c>
      <c r="G510" s="422">
        <f t="shared" si="412"/>
        <v>4778.0199999999995</v>
      </c>
    </row>
    <row r="511" spans="1:7" s="441" customFormat="1" x14ac:dyDescent="0.25">
      <c r="A511" s="489" t="s">
        <v>87</v>
      </c>
      <c r="B511" s="492" t="s">
        <v>88</v>
      </c>
      <c r="C511" s="426">
        <f t="shared" ref="C511:D511" si="413">C512+C521</f>
        <v>4778.0199999999995</v>
      </c>
      <c r="D511" s="426">
        <f t="shared" si="413"/>
        <v>4778.0199999999995</v>
      </c>
      <c r="E511" s="426">
        <f>E512+E521</f>
        <v>4778.0199999999995</v>
      </c>
      <c r="F511" s="426">
        <f t="shared" ref="F511:G511" si="414">F512+F521</f>
        <v>4778.0199999999995</v>
      </c>
      <c r="G511" s="426">
        <f t="shared" si="414"/>
        <v>4778.0199999999995</v>
      </c>
    </row>
    <row r="512" spans="1:7" x14ac:dyDescent="0.25">
      <c r="A512" s="450">
        <v>31</v>
      </c>
      <c r="B512" s="451" t="s">
        <v>89</v>
      </c>
      <c r="C512" s="443">
        <f t="shared" ref="C512:D512" si="415">C513+C516+C518</f>
        <v>4778.0199999999995</v>
      </c>
      <c r="D512" s="443">
        <f t="shared" si="415"/>
        <v>4778.0199999999995</v>
      </c>
      <c r="E512" s="443">
        <f>E513+E516+E518</f>
        <v>4778.0199999999995</v>
      </c>
      <c r="F512" s="443">
        <f t="shared" ref="F512:G512" si="416">F513+F516+F518</f>
        <v>4778.0199999999995</v>
      </c>
      <c r="G512" s="443">
        <f t="shared" si="416"/>
        <v>4778.0199999999995</v>
      </c>
    </row>
    <row r="513" spans="1:7" x14ac:dyDescent="0.25">
      <c r="A513" s="452">
        <v>311</v>
      </c>
      <c r="B513" s="453" t="s">
        <v>90</v>
      </c>
      <c r="C513" s="415">
        <f t="shared" ref="C513:D514" si="417">SUM(C514)</f>
        <v>4101.32</v>
      </c>
      <c r="D513" s="415">
        <f t="shared" si="417"/>
        <v>4101.32</v>
      </c>
      <c r="E513" s="415">
        <f>SUM(E514)</f>
        <v>4101.32</v>
      </c>
      <c r="F513" s="415">
        <f t="shared" ref="F513:G514" si="418">SUM(F514)</f>
        <v>4101.32</v>
      </c>
      <c r="G513" s="415">
        <f t="shared" si="418"/>
        <v>4101.32</v>
      </c>
    </row>
    <row r="514" spans="1:7" x14ac:dyDescent="0.25">
      <c r="A514" s="452">
        <v>3111</v>
      </c>
      <c r="B514" s="453" t="s">
        <v>91</v>
      </c>
      <c r="C514" s="415">
        <f t="shared" si="417"/>
        <v>4101.32</v>
      </c>
      <c r="D514" s="415">
        <f t="shared" si="417"/>
        <v>4101.32</v>
      </c>
      <c r="E514" s="415">
        <f>SUM(E515)</f>
        <v>4101.32</v>
      </c>
      <c r="F514" s="415">
        <f t="shared" si="418"/>
        <v>4101.32</v>
      </c>
      <c r="G514" s="415">
        <f t="shared" si="418"/>
        <v>4101.32</v>
      </c>
    </row>
    <row r="515" spans="1:7" x14ac:dyDescent="0.25">
      <c r="A515" s="454" t="s">
        <v>494</v>
      </c>
      <c r="B515" s="357" t="s">
        <v>91</v>
      </c>
      <c r="C515" s="438">
        <v>4101.32</v>
      </c>
      <c r="D515" s="438">
        <v>4101.32</v>
      </c>
      <c r="E515" s="438">
        <v>4101.32</v>
      </c>
      <c r="F515" s="438">
        <v>4101.32</v>
      </c>
      <c r="G515" s="438">
        <v>4101.32</v>
      </c>
    </row>
    <row r="516" spans="1:7" hidden="1" x14ac:dyDescent="0.25">
      <c r="A516" s="452" t="s">
        <v>98</v>
      </c>
      <c r="B516" s="453" t="s">
        <v>99</v>
      </c>
      <c r="C516" s="415">
        <f t="shared" ref="C516:D516" si="419">C517</f>
        <v>0</v>
      </c>
      <c r="D516" s="415">
        <f t="shared" si="419"/>
        <v>0</v>
      </c>
      <c r="E516" s="415">
        <f>E517</f>
        <v>0</v>
      </c>
      <c r="F516" s="415">
        <f t="shared" ref="F516:G516" si="420">F517</f>
        <v>0</v>
      </c>
      <c r="G516" s="415">
        <f t="shared" si="420"/>
        <v>0</v>
      </c>
    </row>
    <row r="517" spans="1:7" hidden="1" x14ac:dyDescent="0.25">
      <c r="A517" s="454" t="s">
        <v>100</v>
      </c>
      <c r="B517" s="357" t="s">
        <v>99</v>
      </c>
      <c r="C517" s="438"/>
      <c r="D517" s="438"/>
      <c r="E517" s="438"/>
      <c r="F517" s="438"/>
      <c r="G517" s="438"/>
    </row>
    <row r="518" spans="1:7" x14ac:dyDescent="0.25">
      <c r="A518" s="452" t="s">
        <v>213</v>
      </c>
      <c r="B518" s="453" t="s">
        <v>101</v>
      </c>
      <c r="C518" s="415">
        <f t="shared" ref="C518:D519" si="421">SUM(C519)</f>
        <v>676.7</v>
      </c>
      <c r="D518" s="415">
        <f t="shared" si="421"/>
        <v>676.7</v>
      </c>
      <c r="E518" s="415">
        <f>SUM(E519)</f>
        <v>676.7</v>
      </c>
      <c r="F518" s="415">
        <f t="shared" ref="F518:G519" si="422">SUM(F519)</f>
        <v>676.7</v>
      </c>
      <c r="G518" s="415">
        <f t="shared" si="422"/>
        <v>676.7</v>
      </c>
    </row>
    <row r="519" spans="1:7" x14ac:dyDescent="0.25">
      <c r="A519" s="452" t="s">
        <v>214</v>
      </c>
      <c r="B519" s="453" t="s">
        <v>102</v>
      </c>
      <c r="C519" s="415">
        <f t="shared" si="421"/>
        <v>676.7</v>
      </c>
      <c r="D519" s="415">
        <f t="shared" si="421"/>
        <v>676.7</v>
      </c>
      <c r="E519" s="415">
        <f>SUM(E520)</f>
        <v>676.7</v>
      </c>
      <c r="F519" s="415">
        <f t="shared" si="422"/>
        <v>676.7</v>
      </c>
      <c r="G519" s="415">
        <f t="shared" si="422"/>
        <v>676.7</v>
      </c>
    </row>
    <row r="520" spans="1:7" x14ac:dyDescent="0.25">
      <c r="A520" s="454" t="s">
        <v>504</v>
      </c>
      <c r="B520" s="357" t="s">
        <v>102</v>
      </c>
      <c r="C520" s="438">
        <v>676.7</v>
      </c>
      <c r="D520" s="438">
        <v>676.7</v>
      </c>
      <c r="E520" s="438">
        <v>676.7</v>
      </c>
      <c r="F520" s="438">
        <v>676.7</v>
      </c>
      <c r="G520" s="438">
        <v>676.7</v>
      </c>
    </row>
    <row r="521" spans="1:7" s="442" customFormat="1" hidden="1" x14ac:dyDescent="0.25">
      <c r="A521" s="450" t="s">
        <v>367</v>
      </c>
      <c r="B521" s="481" t="s">
        <v>103</v>
      </c>
      <c r="C521" s="443">
        <f t="shared" ref="C521:D521" si="423">C522+C524+C526</f>
        <v>0</v>
      </c>
      <c r="D521" s="443">
        <f t="shared" si="423"/>
        <v>0</v>
      </c>
      <c r="E521" s="443">
        <f>E522+E524+E526</f>
        <v>0</v>
      </c>
      <c r="F521" s="443">
        <f t="shared" ref="F521:G521" si="424">F522+F524+F526</f>
        <v>0</v>
      </c>
      <c r="G521" s="443">
        <f t="shared" si="424"/>
        <v>0</v>
      </c>
    </row>
    <row r="522" spans="1:7" s="416" customFormat="1" hidden="1" x14ac:dyDescent="0.25">
      <c r="A522" s="452" t="s">
        <v>216</v>
      </c>
      <c r="B522" s="453" t="s">
        <v>104</v>
      </c>
      <c r="C522" s="415">
        <f t="shared" ref="C522:D522" si="425">C523</f>
        <v>0</v>
      </c>
      <c r="D522" s="415">
        <f t="shared" si="425"/>
        <v>0</v>
      </c>
      <c r="E522" s="415">
        <f>E523</f>
        <v>0</v>
      </c>
      <c r="F522" s="415">
        <f t="shared" ref="F522:G522" si="426">F523</f>
        <v>0</v>
      </c>
      <c r="G522" s="415">
        <f t="shared" si="426"/>
        <v>0</v>
      </c>
    </row>
    <row r="523" spans="1:7" hidden="1" x14ac:dyDescent="0.25">
      <c r="A523" s="454" t="s">
        <v>107</v>
      </c>
      <c r="B523" s="357" t="s">
        <v>108</v>
      </c>
      <c r="C523" s="438"/>
      <c r="D523" s="438"/>
      <c r="E523" s="438"/>
      <c r="F523" s="438"/>
      <c r="G523" s="438"/>
    </row>
    <row r="524" spans="1:7" s="416" customFormat="1" hidden="1" x14ac:dyDescent="0.25">
      <c r="A524" s="452" t="s">
        <v>113</v>
      </c>
      <c r="B524" s="453" t="s">
        <v>114</v>
      </c>
      <c r="C524" s="415">
        <f t="shared" ref="C524:D524" si="427">C525</f>
        <v>0</v>
      </c>
      <c r="D524" s="415">
        <f t="shared" si="427"/>
        <v>0</v>
      </c>
      <c r="E524" s="415">
        <f>E525</f>
        <v>0</v>
      </c>
      <c r="F524" s="415">
        <f t="shared" ref="F524:G524" si="428">F525</f>
        <v>0</v>
      </c>
      <c r="G524" s="415">
        <f t="shared" si="428"/>
        <v>0</v>
      </c>
    </row>
    <row r="525" spans="1:7" hidden="1" x14ac:dyDescent="0.25">
      <c r="A525" s="454" t="s">
        <v>119</v>
      </c>
      <c r="B525" s="357" t="s">
        <v>120</v>
      </c>
      <c r="C525" s="438"/>
      <c r="D525" s="438"/>
      <c r="E525" s="438"/>
      <c r="F525" s="438"/>
      <c r="G525" s="438"/>
    </row>
    <row r="526" spans="1:7" s="416" customFormat="1" hidden="1" x14ac:dyDescent="0.25">
      <c r="A526" s="452" t="s">
        <v>127</v>
      </c>
      <c r="B526" s="453" t="s">
        <v>128</v>
      </c>
      <c r="C526" s="415">
        <f t="shared" ref="C526:D526" si="429">C527</f>
        <v>0</v>
      </c>
      <c r="D526" s="415">
        <f t="shared" si="429"/>
        <v>0</v>
      </c>
      <c r="E526" s="415">
        <f>E527</f>
        <v>0</v>
      </c>
      <c r="F526" s="415">
        <f t="shared" ref="F526:G526" si="430">F527</f>
        <v>0</v>
      </c>
      <c r="G526" s="415">
        <f t="shared" si="430"/>
        <v>0</v>
      </c>
    </row>
    <row r="527" spans="1:7" hidden="1" x14ac:dyDescent="0.25">
      <c r="A527" s="454" t="s">
        <v>133</v>
      </c>
      <c r="B527" s="357" t="s">
        <v>134</v>
      </c>
      <c r="C527" s="438"/>
      <c r="D527" s="438"/>
      <c r="E527" s="438"/>
      <c r="F527" s="438"/>
      <c r="G527" s="438"/>
    </row>
    <row r="528" spans="1:7" s="429" customFormat="1" ht="47.25" x14ac:dyDescent="0.25">
      <c r="A528" s="490" t="s">
        <v>324</v>
      </c>
      <c r="B528" s="491" t="s">
        <v>369</v>
      </c>
      <c r="C528" s="419">
        <f t="shared" ref="C528:D529" si="431">C529</f>
        <v>2200</v>
      </c>
      <c r="D528" s="419">
        <f t="shared" si="431"/>
        <v>2200</v>
      </c>
      <c r="E528" s="419">
        <f>E529</f>
        <v>2200</v>
      </c>
      <c r="F528" s="419">
        <f t="shared" ref="F528:G529" si="432">F529</f>
        <v>2200</v>
      </c>
      <c r="G528" s="419">
        <f t="shared" si="432"/>
        <v>2200</v>
      </c>
    </row>
    <row r="529" spans="1:7" s="440" customFormat="1" x14ac:dyDescent="0.25">
      <c r="A529" s="474" t="s">
        <v>363</v>
      </c>
      <c r="B529" s="475" t="s">
        <v>364</v>
      </c>
      <c r="C529" s="422">
        <f t="shared" si="431"/>
        <v>2200</v>
      </c>
      <c r="D529" s="422">
        <f t="shared" si="431"/>
        <v>2200</v>
      </c>
      <c r="E529" s="422">
        <f>E530</f>
        <v>2200</v>
      </c>
      <c r="F529" s="422">
        <f t="shared" si="432"/>
        <v>2200</v>
      </c>
      <c r="G529" s="422">
        <f t="shared" si="432"/>
        <v>2200</v>
      </c>
    </row>
    <row r="530" spans="1:7" s="441" customFormat="1" x14ac:dyDescent="0.25">
      <c r="A530" s="489" t="s">
        <v>87</v>
      </c>
      <c r="B530" s="492" t="s">
        <v>88</v>
      </c>
      <c r="C530" s="426">
        <f t="shared" ref="C530:D530" si="433">C531+C540</f>
        <v>2200</v>
      </c>
      <c r="D530" s="426">
        <f t="shared" si="433"/>
        <v>2200</v>
      </c>
      <c r="E530" s="426">
        <f>E531+E540</f>
        <v>2200</v>
      </c>
      <c r="F530" s="426">
        <f t="shared" ref="F530:G530" si="434">F531+F540</f>
        <v>2200</v>
      </c>
      <c r="G530" s="426">
        <f t="shared" si="434"/>
        <v>2200</v>
      </c>
    </row>
    <row r="531" spans="1:7" x14ac:dyDescent="0.25">
      <c r="A531" s="450">
        <v>31</v>
      </c>
      <c r="B531" s="451" t="s">
        <v>89</v>
      </c>
      <c r="C531" s="443">
        <f t="shared" ref="C531:D531" si="435">C532+C535+C537</f>
        <v>2200</v>
      </c>
      <c r="D531" s="443">
        <f t="shared" si="435"/>
        <v>2200</v>
      </c>
      <c r="E531" s="443">
        <f>E532+E535+E537</f>
        <v>2200</v>
      </c>
      <c r="F531" s="443">
        <f t="shared" ref="F531:G531" si="436">F532+F535+F537</f>
        <v>2200</v>
      </c>
      <c r="G531" s="443">
        <f t="shared" si="436"/>
        <v>2200</v>
      </c>
    </row>
    <row r="532" spans="1:7" x14ac:dyDescent="0.25">
      <c r="A532" s="452">
        <v>311</v>
      </c>
      <c r="B532" s="453" t="s">
        <v>90</v>
      </c>
      <c r="C532" s="415">
        <f t="shared" ref="C532:D533" si="437">SUM(C533)</f>
        <v>1888.41</v>
      </c>
      <c r="D532" s="415">
        <f t="shared" si="437"/>
        <v>1888.41</v>
      </c>
      <c r="E532" s="415">
        <f>SUM(E533)</f>
        <v>1888.41</v>
      </c>
      <c r="F532" s="415">
        <f t="shared" ref="F532:G533" si="438">SUM(F533)</f>
        <v>1888.41</v>
      </c>
      <c r="G532" s="415">
        <f t="shared" si="438"/>
        <v>1888.41</v>
      </c>
    </row>
    <row r="533" spans="1:7" x14ac:dyDescent="0.25">
      <c r="A533" s="452">
        <v>3111</v>
      </c>
      <c r="B533" s="453" t="s">
        <v>91</v>
      </c>
      <c r="C533" s="415">
        <f t="shared" si="437"/>
        <v>1888.41</v>
      </c>
      <c r="D533" s="415">
        <f t="shared" si="437"/>
        <v>1888.41</v>
      </c>
      <c r="E533" s="415">
        <f>SUM(E534)</f>
        <v>1888.41</v>
      </c>
      <c r="F533" s="415">
        <f t="shared" si="438"/>
        <v>1888.41</v>
      </c>
      <c r="G533" s="415">
        <f t="shared" si="438"/>
        <v>1888.41</v>
      </c>
    </row>
    <row r="534" spans="1:7" x14ac:dyDescent="0.25">
      <c r="A534" s="454" t="s">
        <v>494</v>
      </c>
      <c r="B534" s="357" t="s">
        <v>91</v>
      </c>
      <c r="C534" s="438">
        <v>1888.41</v>
      </c>
      <c r="D534" s="438">
        <v>1888.41</v>
      </c>
      <c r="E534" s="438">
        <v>1888.41</v>
      </c>
      <c r="F534" s="438">
        <v>1888.41</v>
      </c>
      <c r="G534" s="438">
        <v>1888.41</v>
      </c>
    </row>
    <row r="535" spans="1:7" hidden="1" x14ac:dyDescent="0.25">
      <c r="A535" s="452" t="s">
        <v>98</v>
      </c>
      <c r="B535" s="453" t="s">
        <v>99</v>
      </c>
      <c r="C535" s="415">
        <f t="shared" ref="C535:D535" si="439">C536</f>
        <v>0</v>
      </c>
      <c r="D535" s="415">
        <f t="shared" si="439"/>
        <v>0</v>
      </c>
      <c r="E535" s="415">
        <f>E536</f>
        <v>0</v>
      </c>
      <c r="F535" s="415">
        <f t="shared" ref="F535:G535" si="440">F536</f>
        <v>0</v>
      </c>
      <c r="G535" s="415">
        <f t="shared" si="440"/>
        <v>0</v>
      </c>
    </row>
    <row r="536" spans="1:7" hidden="1" x14ac:dyDescent="0.25">
      <c r="A536" s="454" t="s">
        <v>100</v>
      </c>
      <c r="B536" s="357" t="s">
        <v>99</v>
      </c>
      <c r="C536" s="438"/>
      <c r="D536" s="438"/>
      <c r="E536" s="438"/>
      <c r="F536" s="438"/>
      <c r="G536" s="438"/>
    </row>
    <row r="537" spans="1:7" x14ac:dyDescent="0.25">
      <c r="A537" s="452" t="s">
        <v>213</v>
      </c>
      <c r="B537" s="453" t="s">
        <v>101</v>
      </c>
      <c r="C537" s="415">
        <f t="shared" ref="C537:D538" si="441">SUM(C538)</f>
        <v>311.58999999999997</v>
      </c>
      <c r="D537" s="415">
        <f t="shared" si="441"/>
        <v>311.58999999999997</v>
      </c>
      <c r="E537" s="415">
        <f>SUM(E538)</f>
        <v>311.58999999999997</v>
      </c>
      <c r="F537" s="415">
        <f t="shared" ref="F537:G538" si="442">SUM(F538)</f>
        <v>311.58999999999997</v>
      </c>
      <c r="G537" s="415">
        <f t="shared" si="442"/>
        <v>311.58999999999997</v>
      </c>
    </row>
    <row r="538" spans="1:7" x14ac:dyDescent="0.25">
      <c r="A538" s="452" t="s">
        <v>214</v>
      </c>
      <c r="B538" s="453" t="s">
        <v>102</v>
      </c>
      <c r="C538" s="415">
        <f t="shared" si="441"/>
        <v>311.58999999999997</v>
      </c>
      <c r="D538" s="415">
        <f t="shared" si="441"/>
        <v>311.58999999999997</v>
      </c>
      <c r="E538" s="415">
        <f>SUM(E539)</f>
        <v>311.58999999999997</v>
      </c>
      <c r="F538" s="415">
        <f t="shared" si="442"/>
        <v>311.58999999999997</v>
      </c>
      <c r="G538" s="415">
        <f t="shared" si="442"/>
        <v>311.58999999999997</v>
      </c>
    </row>
    <row r="539" spans="1:7" x14ac:dyDescent="0.25">
      <c r="A539" s="454" t="s">
        <v>504</v>
      </c>
      <c r="B539" s="357" t="s">
        <v>102</v>
      </c>
      <c r="C539" s="438">
        <v>311.58999999999997</v>
      </c>
      <c r="D539" s="438">
        <v>311.58999999999997</v>
      </c>
      <c r="E539" s="438">
        <v>311.58999999999997</v>
      </c>
      <c r="F539" s="438">
        <v>311.58999999999997</v>
      </c>
      <c r="G539" s="438">
        <v>311.58999999999997</v>
      </c>
    </row>
    <row r="540" spans="1:7" s="442" customFormat="1" hidden="1" x14ac:dyDescent="0.25">
      <c r="A540" s="450" t="s">
        <v>367</v>
      </c>
      <c r="B540" s="481" t="s">
        <v>103</v>
      </c>
      <c r="C540" s="443">
        <f t="shared" ref="C540:D540" si="443">C541+C543+C545</f>
        <v>0</v>
      </c>
      <c r="D540" s="443">
        <f t="shared" si="443"/>
        <v>0</v>
      </c>
      <c r="E540" s="443">
        <f>E541+E543+E545</f>
        <v>0</v>
      </c>
      <c r="F540" s="443">
        <f t="shared" ref="F540:G540" si="444">F541+F543+F545</f>
        <v>0</v>
      </c>
      <c r="G540" s="443">
        <f t="shared" si="444"/>
        <v>0</v>
      </c>
    </row>
    <row r="541" spans="1:7" s="416" customFormat="1" hidden="1" x14ac:dyDescent="0.25">
      <c r="A541" s="452" t="s">
        <v>216</v>
      </c>
      <c r="B541" s="453" t="s">
        <v>104</v>
      </c>
      <c r="C541" s="415">
        <f t="shared" ref="C541:D541" si="445">C542</f>
        <v>0</v>
      </c>
      <c r="D541" s="415">
        <f t="shared" si="445"/>
        <v>0</v>
      </c>
      <c r="E541" s="415">
        <f>E542</f>
        <v>0</v>
      </c>
      <c r="F541" s="415">
        <f t="shared" ref="F541:G541" si="446">F542</f>
        <v>0</v>
      </c>
      <c r="G541" s="415">
        <f t="shared" si="446"/>
        <v>0</v>
      </c>
    </row>
    <row r="542" spans="1:7" hidden="1" x14ac:dyDescent="0.25">
      <c r="A542" s="454" t="s">
        <v>107</v>
      </c>
      <c r="B542" s="357" t="s">
        <v>108</v>
      </c>
      <c r="C542" s="438"/>
      <c r="D542" s="438"/>
      <c r="E542" s="438"/>
      <c r="F542" s="438"/>
      <c r="G542" s="438"/>
    </row>
    <row r="543" spans="1:7" s="416" customFormat="1" hidden="1" x14ac:dyDescent="0.25">
      <c r="A543" s="452" t="s">
        <v>113</v>
      </c>
      <c r="B543" s="453" t="s">
        <v>114</v>
      </c>
      <c r="C543" s="415">
        <f t="shared" ref="C543:D543" si="447">C544</f>
        <v>0</v>
      </c>
      <c r="D543" s="415">
        <f t="shared" si="447"/>
        <v>0</v>
      </c>
      <c r="E543" s="415">
        <f>E544</f>
        <v>0</v>
      </c>
      <c r="F543" s="415">
        <f t="shared" ref="F543:G543" si="448">F544</f>
        <v>0</v>
      </c>
      <c r="G543" s="415">
        <f t="shared" si="448"/>
        <v>0</v>
      </c>
    </row>
    <row r="544" spans="1:7" hidden="1" x14ac:dyDescent="0.25">
      <c r="A544" s="454" t="s">
        <v>119</v>
      </c>
      <c r="B544" s="357" t="s">
        <v>120</v>
      </c>
      <c r="C544" s="438"/>
      <c r="D544" s="438"/>
      <c r="E544" s="438"/>
      <c r="F544" s="438"/>
      <c r="G544" s="438"/>
    </row>
    <row r="545" spans="1:7" s="416" customFormat="1" hidden="1" x14ac:dyDescent="0.25">
      <c r="A545" s="452" t="s">
        <v>127</v>
      </c>
      <c r="B545" s="453" t="s">
        <v>128</v>
      </c>
      <c r="C545" s="415">
        <f t="shared" ref="C545:D545" si="449">C546</f>
        <v>0</v>
      </c>
      <c r="D545" s="415">
        <f t="shared" si="449"/>
        <v>0</v>
      </c>
      <c r="E545" s="415">
        <f>E546</f>
        <v>0</v>
      </c>
      <c r="F545" s="415">
        <f t="shared" ref="F545:G545" si="450">F546</f>
        <v>0</v>
      </c>
      <c r="G545" s="415">
        <f t="shared" si="450"/>
        <v>0</v>
      </c>
    </row>
    <row r="546" spans="1:7" hidden="1" x14ac:dyDescent="0.25">
      <c r="A546" s="454" t="s">
        <v>133</v>
      </c>
      <c r="B546" s="357" t="s">
        <v>134</v>
      </c>
      <c r="C546" s="438"/>
      <c r="D546" s="438"/>
      <c r="E546" s="438"/>
      <c r="F546" s="438"/>
      <c r="G546" s="438"/>
    </row>
    <row r="547" spans="1:7" s="429" customFormat="1" ht="47.25" x14ac:dyDescent="0.25">
      <c r="A547" s="490" t="s">
        <v>324</v>
      </c>
      <c r="B547" s="491" t="s">
        <v>602</v>
      </c>
      <c r="C547" s="419">
        <f t="shared" ref="C547:D548" si="451">C548</f>
        <v>32919.370000000003</v>
      </c>
      <c r="D547" s="419">
        <f t="shared" si="451"/>
        <v>45699.34</v>
      </c>
      <c r="E547" s="419">
        <f>E548</f>
        <v>45699.34</v>
      </c>
      <c r="F547" s="419">
        <f t="shared" ref="F547:G547" si="452">F548</f>
        <v>45699.34</v>
      </c>
      <c r="G547" s="419">
        <f t="shared" si="452"/>
        <v>0</v>
      </c>
    </row>
    <row r="548" spans="1:7" s="440" customFormat="1" x14ac:dyDescent="0.25">
      <c r="A548" s="474" t="s">
        <v>370</v>
      </c>
      <c r="B548" s="475" t="s">
        <v>41</v>
      </c>
      <c r="C548" s="422">
        <f t="shared" si="451"/>
        <v>32919.370000000003</v>
      </c>
      <c r="D548" s="422">
        <f t="shared" si="451"/>
        <v>45699.34</v>
      </c>
      <c r="E548" s="422">
        <f>E549</f>
        <v>45699.34</v>
      </c>
      <c r="F548" s="422">
        <f t="shared" ref="F548:G548" si="453">F549</f>
        <v>45699.34</v>
      </c>
      <c r="G548" s="422">
        <f t="shared" si="453"/>
        <v>0</v>
      </c>
    </row>
    <row r="549" spans="1:7" s="441" customFormat="1" x14ac:dyDescent="0.25">
      <c r="A549" s="489" t="s">
        <v>87</v>
      </c>
      <c r="B549" s="492" t="s">
        <v>88</v>
      </c>
      <c r="C549" s="426">
        <f t="shared" ref="C549:D549" si="454">C550+C561</f>
        <v>32919.370000000003</v>
      </c>
      <c r="D549" s="426">
        <f t="shared" si="454"/>
        <v>45699.34</v>
      </c>
      <c r="E549" s="426">
        <f>E550+E561</f>
        <v>45699.34</v>
      </c>
      <c r="F549" s="426">
        <f>F550+F561</f>
        <v>45699.34</v>
      </c>
      <c r="G549" s="426">
        <f>G550+G561</f>
        <v>0</v>
      </c>
    </row>
    <row r="550" spans="1:7" x14ac:dyDescent="0.25">
      <c r="A550" s="450">
        <v>31</v>
      </c>
      <c r="B550" s="451" t="s">
        <v>89</v>
      </c>
      <c r="C550" s="443">
        <f t="shared" ref="C550:D550" si="455">C551+C554+C558</f>
        <v>32519.7</v>
      </c>
      <c r="D550" s="443">
        <f t="shared" si="455"/>
        <v>34458.519999999997</v>
      </c>
      <c r="E550" s="443">
        <f>E551+E554+E558</f>
        <v>34458.519999999997</v>
      </c>
      <c r="F550" s="443">
        <f>F551+F554+F558</f>
        <v>34458.519999999997</v>
      </c>
      <c r="G550" s="443">
        <f>G551+G554+G558</f>
        <v>0</v>
      </c>
    </row>
    <row r="551" spans="1:7" x14ac:dyDescent="0.25">
      <c r="A551" s="452">
        <v>311</v>
      </c>
      <c r="B551" s="453" t="s">
        <v>90</v>
      </c>
      <c r="C551" s="415">
        <f t="shared" ref="C551:D551" si="456">C552</f>
        <v>31919.7</v>
      </c>
      <c r="D551" s="415">
        <f t="shared" si="456"/>
        <v>28723.69</v>
      </c>
      <c r="E551" s="415">
        <f>E552</f>
        <v>28723.69</v>
      </c>
      <c r="F551" s="415">
        <f t="shared" ref="F551:G551" si="457">F552</f>
        <v>28723.69</v>
      </c>
      <c r="G551" s="415">
        <f t="shared" si="457"/>
        <v>0</v>
      </c>
    </row>
    <row r="552" spans="1:7" x14ac:dyDescent="0.25">
      <c r="A552" s="452" t="s">
        <v>534</v>
      </c>
      <c r="B552" s="453" t="s">
        <v>91</v>
      </c>
      <c r="C552" s="415">
        <f t="shared" ref="C552:D552" si="458">SUM(C553)</f>
        <v>31919.7</v>
      </c>
      <c r="D552" s="415">
        <f t="shared" si="458"/>
        <v>28723.69</v>
      </c>
      <c r="E552" s="415">
        <f>SUM(E553)</f>
        <v>28723.69</v>
      </c>
      <c r="F552" s="415">
        <f t="shared" ref="F552:G552" si="459">SUM(F553)</f>
        <v>28723.69</v>
      </c>
      <c r="G552" s="415">
        <f t="shared" si="459"/>
        <v>0</v>
      </c>
    </row>
    <row r="553" spans="1:7" x14ac:dyDescent="0.25">
      <c r="A553" s="454" t="s">
        <v>494</v>
      </c>
      <c r="B553" s="357" t="s">
        <v>91</v>
      </c>
      <c r="C553" s="438">
        <v>31919.7</v>
      </c>
      <c r="D553" s="438">
        <v>28723.69</v>
      </c>
      <c r="E553" s="438">
        <v>28723.69</v>
      </c>
      <c r="F553" s="438">
        <v>28723.69</v>
      </c>
      <c r="G553" s="438"/>
    </row>
    <row r="554" spans="1:7" x14ac:dyDescent="0.25">
      <c r="A554" s="452" t="s">
        <v>98</v>
      </c>
      <c r="B554" s="453" t="s">
        <v>99</v>
      </c>
      <c r="C554" s="415">
        <f t="shared" ref="C554:D554" si="460">C555</f>
        <v>600</v>
      </c>
      <c r="D554" s="415">
        <f t="shared" si="460"/>
        <v>995.42</v>
      </c>
      <c r="E554" s="415">
        <f>E555</f>
        <v>995.42</v>
      </c>
      <c r="F554" s="415">
        <f t="shared" ref="F554:G554" si="461">F555</f>
        <v>995.42</v>
      </c>
      <c r="G554" s="415">
        <f t="shared" si="461"/>
        <v>0</v>
      </c>
    </row>
    <row r="555" spans="1:7" x14ac:dyDescent="0.25">
      <c r="A555" s="452" t="s">
        <v>100</v>
      </c>
      <c r="B555" s="453" t="s">
        <v>99</v>
      </c>
      <c r="C555" s="415">
        <f t="shared" ref="C555:D555" si="462">SUM(C556:C557)</f>
        <v>600</v>
      </c>
      <c r="D555" s="415">
        <f t="shared" si="462"/>
        <v>995.42</v>
      </c>
      <c r="E555" s="415">
        <f>SUM(E556:E557)</f>
        <v>995.42</v>
      </c>
      <c r="F555" s="415">
        <f>SUM(F556:F557)</f>
        <v>995.42</v>
      </c>
      <c r="G555" s="415">
        <f>SUM(G556:G557)</f>
        <v>0</v>
      </c>
    </row>
    <row r="556" spans="1:7" x14ac:dyDescent="0.25">
      <c r="A556" s="454" t="s">
        <v>502</v>
      </c>
      <c r="B556" s="357" t="s">
        <v>415</v>
      </c>
      <c r="C556" s="438">
        <v>300</v>
      </c>
      <c r="D556" s="438">
        <v>300</v>
      </c>
      <c r="E556" s="438">
        <v>300</v>
      </c>
      <c r="F556" s="438">
        <v>300</v>
      </c>
      <c r="G556" s="438"/>
    </row>
    <row r="557" spans="1:7" x14ac:dyDescent="0.25">
      <c r="A557" s="454" t="s">
        <v>503</v>
      </c>
      <c r="B557" s="357" t="s">
        <v>410</v>
      </c>
      <c r="C557" s="438">
        <v>300</v>
      </c>
      <c r="D557" s="438">
        <v>695.42</v>
      </c>
      <c r="E557" s="438">
        <v>695.42</v>
      </c>
      <c r="F557" s="438">
        <v>695.42</v>
      </c>
      <c r="G557" s="438"/>
    </row>
    <row r="558" spans="1:7" x14ac:dyDescent="0.25">
      <c r="A558" s="452" t="s">
        <v>213</v>
      </c>
      <c r="B558" s="453" t="s">
        <v>101</v>
      </c>
      <c r="C558" s="415">
        <f t="shared" ref="C558:D558" si="463">C559</f>
        <v>0</v>
      </c>
      <c r="D558" s="415">
        <f t="shared" si="463"/>
        <v>4739.41</v>
      </c>
      <c r="E558" s="415">
        <f>E559</f>
        <v>4739.41</v>
      </c>
      <c r="F558" s="415">
        <f t="shared" ref="F558:G558" si="464">F559</f>
        <v>4739.41</v>
      </c>
      <c r="G558" s="415">
        <f t="shared" si="464"/>
        <v>0</v>
      </c>
    </row>
    <row r="559" spans="1:7" x14ac:dyDescent="0.25">
      <c r="A559" s="452" t="s">
        <v>214</v>
      </c>
      <c r="B559" s="453" t="s">
        <v>102</v>
      </c>
      <c r="C559" s="415">
        <f t="shared" ref="C559:D559" si="465">SUM(C560)</f>
        <v>0</v>
      </c>
      <c r="D559" s="415">
        <f t="shared" si="465"/>
        <v>4739.41</v>
      </c>
      <c r="E559" s="415">
        <f>SUM(E560)</f>
        <v>4739.41</v>
      </c>
      <c r="F559" s="415">
        <f t="shared" ref="F559:G559" si="466">SUM(F560)</f>
        <v>4739.41</v>
      </c>
      <c r="G559" s="415">
        <f t="shared" si="466"/>
        <v>0</v>
      </c>
    </row>
    <row r="560" spans="1:7" x14ac:dyDescent="0.25">
      <c r="A560" s="454" t="s">
        <v>504</v>
      </c>
      <c r="B560" s="357" t="s">
        <v>102</v>
      </c>
      <c r="C560" s="438">
        <v>0</v>
      </c>
      <c r="D560" s="438">
        <v>4739.41</v>
      </c>
      <c r="E560" s="438">
        <v>4739.41</v>
      </c>
      <c r="F560" s="438">
        <v>4739.41</v>
      </c>
      <c r="G560" s="438"/>
    </row>
    <row r="561" spans="1:7" s="416" customFormat="1" x14ac:dyDescent="0.25">
      <c r="A561" s="480" t="s">
        <v>367</v>
      </c>
      <c r="B561" s="481" t="s">
        <v>103</v>
      </c>
      <c r="C561" s="443">
        <f t="shared" ref="C561:D561" si="467">C562+C569+C571</f>
        <v>399.67</v>
      </c>
      <c r="D561" s="443">
        <f t="shared" si="467"/>
        <v>11240.82</v>
      </c>
      <c r="E561" s="443">
        <f>E562+E569+E571</f>
        <v>11240.82</v>
      </c>
      <c r="F561" s="443">
        <f t="shared" ref="F561:G561" si="468">F562+F569+F571</f>
        <v>11240.82</v>
      </c>
      <c r="G561" s="443">
        <f t="shared" si="468"/>
        <v>0</v>
      </c>
    </row>
    <row r="562" spans="1:7" s="416" customFormat="1" x14ac:dyDescent="0.25">
      <c r="A562" s="452" t="s">
        <v>216</v>
      </c>
      <c r="B562" s="453" t="s">
        <v>104</v>
      </c>
      <c r="C562" s="415">
        <f t="shared" ref="C562:D562" si="469">C563+C565+C567</f>
        <v>399.67</v>
      </c>
      <c r="D562" s="415">
        <f t="shared" si="469"/>
        <v>10280.64</v>
      </c>
      <c r="E562" s="415">
        <f>E563+E565+E567</f>
        <v>10280.64</v>
      </c>
      <c r="F562" s="415">
        <f t="shared" ref="F562:G562" si="470">F563+F565+F567</f>
        <v>10280.64</v>
      </c>
      <c r="G562" s="415">
        <f t="shared" si="470"/>
        <v>0</v>
      </c>
    </row>
    <row r="563" spans="1:7" s="416" customFormat="1" x14ac:dyDescent="0.25">
      <c r="A563" s="452" t="s">
        <v>105</v>
      </c>
      <c r="B563" s="453" t="s">
        <v>106</v>
      </c>
      <c r="C563" s="415">
        <f t="shared" ref="C563:D563" si="471">SUM(C564)</f>
        <v>0</v>
      </c>
      <c r="D563" s="415">
        <f t="shared" si="471"/>
        <v>3716.17</v>
      </c>
      <c r="E563" s="415">
        <f>SUM(E564)</f>
        <v>3716.17</v>
      </c>
      <c r="F563" s="415">
        <f t="shared" ref="F563:G563" si="472">SUM(F564)</f>
        <v>3716.17</v>
      </c>
      <c r="G563" s="415">
        <f t="shared" si="472"/>
        <v>0</v>
      </c>
    </row>
    <row r="564" spans="1:7" s="416" customFormat="1" x14ac:dyDescent="0.25">
      <c r="A564" s="454" t="s">
        <v>535</v>
      </c>
      <c r="B564" s="357" t="s">
        <v>416</v>
      </c>
      <c r="C564" s="438">
        <v>0</v>
      </c>
      <c r="D564" s="438">
        <v>3716.17</v>
      </c>
      <c r="E564" s="438">
        <v>3716.17</v>
      </c>
      <c r="F564" s="438">
        <v>3716.17</v>
      </c>
      <c r="G564" s="438"/>
    </row>
    <row r="565" spans="1:7" s="416" customFormat="1" x14ac:dyDescent="0.25">
      <c r="A565" s="452" t="s">
        <v>107</v>
      </c>
      <c r="B565" s="453" t="s">
        <v>108</v>
      </c>
      <c r="C565" s="415">
        <f t="shared" ref="C565:D565" si="473">SUM(C566)</f>
        <v>399.67</v>
      </c>
      <c r="D565" s="415">
        <f t="shared" si="473"/>
        <v>4905.43</v>
      </c>
      <c r="E565" s="415">
        <f>SUM(E566)</f>
        <v>4905.43</v>
      </c>
      <c r="F565" s="415">
        <f t="shared" ref="F565:G565" si="474">SUM(F566)</f>
        <v>4905.43</v>
      </c>
      <c r="G565" s="415">
        <f t="shared" si="474"/>
        <v>0</v>
      </c>
    </row>
    <row r="566" spans="1:7" s="416" customFormat="1" x14ac:dyDescent="0.25">
      <c r="A566" s="454" t="s">
        <v>505</v>
      </c>
      <c r="B566" s="357" t="s">
        <v>108</v>
      </c>
      <c r="C566" s="438">
        <v>399.67</v>
      </c>
      <c r="D566" s="438">
        <v>4905.43</v>
      </c>
      <c r="E566" s="438">
        <v>4905.43</v>
      </c>
      <c r="F566" s="438">
        <v>4905.43</v>
      </c>
      <c r="G566" s="438"/>
    </row>
    <row r="567" spans="1:7" s="416" customFormat="1" x14ac:dyDescent="0.25">
      <c r="A567" s="452" t="s">
        <v>109</v>
      </c>
      <c r="B567" s="453" t="s">
        <v>110</v>
      </c>
      <c r="C567" s="415">
        <f t="shared" ref="C567:D567" si="475">SUM(C568)</f>
        <v>0</v>
      </c>
      <c r="D567" s="415">
        <f t="shared" si="475"/>
        <v>1659.04</v>
      </c>
      <c r="E567" s="415">
        <f>SUM(E568)</f>
        <v>1659.04</v>
      </c>
      <c r="F567" s="415">
        <f t="shared" ref="F567:G567" si="476">SUM(F568)</f>
        <v>1659.04</v>
      </c>
      <c r="G567" s="415">
        <f t="shared" si="476"/>
        <v>0</v>
      </c>
    </row>
    <row r="568" spans="1:7" x14ac:dyDescent="0.25">
      <c r="A568" s="454" t="s">
        <v>525</v>
      </c>
      <c r="B568" s="357" t="s">
        <v>421</v>
      </c>
      <c r="C568" s="438">
        <v>0</v>
      </c>
      <c r="D568" s="438">
        <v>1659.04</v>
      </c>
      <c r="E568" s="438">
        <v>1659.04</v>
      </c>
      <c r="F568" s="438">
        <v>1659.04</v>
      </c>
      <c r="G568" s="438"/>
    </row>
    <row r="569" spans="1:7" s="416" customFormat="1" x14ac:dyDescent="0.25">
      <c r="A569" s="452" t="s">
        <v>113</v>
      </c>
      <c r="B569" s="453" t="s">
        <v>114</v>
      </c>
      <c r="C569" s="415">
        <f t="shared" ref="C569:D569" si="477">C570</f>
        <v>0</v>
      </c>
      <c r="D569" s="415">
        <f t="shared" si="477"/>
        <v>0</v>
      </c>
      <c r="E569" s="415">
        <f>E570</f>
        <v>0</v>
      </c>
      <c r="F569" s="415">
        <f t="shared" ref="F569:G569" si="478">F570</f>
        <v>0</v>
      </c>
      <c r="G569" s="415">
        <f t="shared" si="478"/>
        <v>0</v>
      </c>
    </row>
    <row r="570" spans="1:7" x14ac:dyDescent="0.25">
      <c r="A570" s="452" t="s">
        <v>119</v>
      </c>
      <c r="B570" s="453" t="s">
        <v>120</v>
      </c>
      <c r="C570" s="415"/>
      <c r="D570" s="415"/>
      <c r="E570" s="415"/>
      <c r="F570" s="415"/>
      <c r="G570" s="415"/>
    </row>
    <row r="571" spans="1:7" s="416" customFormat="1" x14ac:dyDescent="0.25">
      <c r="A571" s="452" t="s">
        <v>127</v>
      </c>
      <c r="B571" s="453" t="s">
        <v>128</v>
      </c>
      <c r="C571" s="415">
        <f t="shared" ref="C571:D571" si="479">C572+C574</f>
        <v>0</v>
      </c>
      <c r="D571" s="415">
        <f t="shared" si="479"/>
        <v>960.18000000000006</v>
      </c>
      <c r="E571" s="415">
        <f>E572+E574</f>
        <v>960.18000000000006</v>
      </c>
      <c r="F571" s="415">
        <f t="shared" ref="F571:G571" si="480">F572+F574</f>
        <v>960.18000000000006</v>
      </c>
      <c r="G571" s="415">
        <f t="shared" si="480"/>
        <v>0</v>
      </c>
    </row>
    <row r="572" spans="1:7" s="416" customFormat="1" x14ac:dyDescent="0.25">
      <c r="A572" s="452" t="s">
        <v>219</v>
      </c>
      <c r="B572" s="453" t="s">
        <v>139</v>
      </c>
      <c r="C572" s="415">
        <f t="shared" ref="C572:D572" si="481">C573</f>
        <v>0</v>
      </c>
      <c r="D572" s="415">
        <f t="shared" si="481"/>
        <v>518.74</v>
      </c>
      <c r="E572" s="415">
        <f>E573</f>
        <v>518.74</v>
      </c>
      <c r="F572" s="415">
        <f t="shared" ref="F572:G572" si="482">F573</f>
        <v>518.74</v>
      </c>
      <c r="G572" s="415">
        <f t="shared" si="482"/>
        <v>0</v>
      </c>
    </row>
    <row r="573" spans="1:7" x14ac:dyDescent="0.25">
      <c r="A573" s="454" t="s">
        <v>528</v>
      </c>
      <c r="B573" s="357" t="s">
        <v>451</v>
      </c>
      <c r="C573" s="438">
        <v>0</v>
      </c>
      <c r="D573" s="438">
        <v>518.74</v>
      </c>
      <c r="E573" s="438">
        <v>518.74</v>
      </c>
      <c r="F573" s="438">
        <v>518.74</v>
      </c>
      <c r="G573" s="438"/>
    </row>
    <row r="574" spans="1:7" x14ac:dyDescent="0.25">
      <c r="A574" s="452" t="s">
        <v>142</v>
      </c>
      <c r="B574" s="453" t="s">
        <v>143</v>
      </c>
      <c r="C574" s="415">
        <f t="shared" ref="C574:D574" si="483">C575</f>
        <v>0</v>
      </c>
      <c r="D574" s="415">
        <f t="shared" si="483"/>
        <v>441.44</v>
      </c>
      <c r="E574" s="415">
        <f>E575</f>
        <v>441.44</v>
      </c>
      <c r="F574" s="415">
        <f t="shared" ref="F574:G574" si="484">F575</f>
        <v>441.44</v>
      </c>
      <c r="G574" s="415">
        <f t="shared" si="484"/>
        <v>0</v>
      </c>
    </row>
    <row r="575" spans="1:7" x14ac:dyDescent="0.25">
      <c r="A575" s="454" t="s">
        <v>529</v>
      </c>
      <c r="B575" s="357" t="s">
        <v>317</v>
      </c>
      <c r="C575" s="438">
        <v>0</v>
      </c>
      <c r="D575" s="438">
        <v>441.44</v>
      </c>
      <c r="E575" s="438">
        <v>441.44</v>
      </c>
      <c r="F575" s="438">
        <v>441.44</v>
      </c>
      <c r="G575" s="438"/>
    </row>
    <row r="576" spans="1:7" s="429" customFormat="1" ht="47.25" x14ac:dyDescent="0.25">
      <c r="A576" s="490" t="s">
        <v>324</v>
      </c>
      <c r="B576" s="491" t="s">
        <v>601</v>
      </c>
      <c r="C576" s="419">
        <f t="shared" ref="C576:D577" si="485">C577</f>
        <v>0</v>
      </c>
      <c r="D576" s="419">
        <f t="shared" si="485"/>
        <v>0</v>
      </c>
      <c r="E576" s="419">
        <f>E577</f>
        <v>102909.87999999999</v>
      </c>
      <c r="F576" s="419">
        <f t="shared" ref="F576:G577" si="486">F577</f>
        <v>102909.87999999999</v>
      </c>
      <c r="G576" s="419">
        <f t="shared" si="486"/>
        <v>102909.87999999999</v>
      </c>
    </row>
    <row r="577" spans="1:7" s="440" customFormat="1" x14ac:dyDescent="0.25">
      <c r="A577" s="474" t="s">
        <v>370</v>
      </c>
      <c r="B577" s="475" t="s">
        <v>41</v>
      </c>
      <c r="C577" s="422">
        <f t="shared" si="485"/>
        <v>0</v>
      </c>
      <c r="D577" s="422">
        <f t="shared" si="485"/>
        <v>0</v>
      </c>
      <c r="E577" s="422">
        <f>E578</f>
        <v>102909.87999999999</v>
      </c>
      <c r="F577" s="422">
        <f t="shared" si="486"/>
        <v>102909.87999999999</v>
      </c>
      <c r="G577" s="422">
        <f t="shared" si="486"/>
        <v>102909.87999999999</v>
      </c>
    </row>
    <row r="578" spans="1:7" s="441" customFormat="1" x14ac:dyDescent="0.25">
      <c r="A578" s="489" t="s">
        <v>87</v>
      </c>
      <c r="B578" s="492" t="s">
        <v>88</v>
      </c>
      <c r="C578" s="426">
        <f t="shared" ref="C578:D578" si="487">C579+C590</f>
        <v>0</v>
      </c>
      <c r="D578" s="426">
        <f t="shared" si="487"/>
        <v>0</v>
      </c>
      <c r="E578" s="426">
        <f>E579+E590</f>
        <v>102909.87999999999</v>
      </c>
      <c r="F578" s="426">
        <f>F579+F590</f>
        <v>102909.87999999999</v>
      </c>
      <c r="G578" s="426">
        <f>G579+G590</f>
        <v>102909.87999999999</v>
      </c>
    </row>
    <row r="579" spans="1:7" x14ac:dyDescent="0.25">
      <c r="A579" s="450">
        <v>31</v>
      </c>
      <c r="B579" s="451" t="s">
        <v>89</v>
      </c>
      <c r="C579" s="443">
        <f t="shared" ref="C579:D579" si="488">C580+C583+C587</f>
        <v>0</v>
      </c>
      <c r="D579" s="443">
        <f t="shared" si="488"/>
        <v>0</v>
      </c>
      <c r="E579" s="443">
        <f>E580+E583+E587</f>
        <v>83346.37999999999</v>
      </c>
      <c r="F579" s="443">
        <f>F580+F583+F587</f>
        <v>83346.37999999999</v>
      </c>
      <c r="G579" s="443">
        <f>G580+G583+G587</f>
        <v>83346.37999999999</v>
      </c>
    </row>
    <row r="580" spans="1:7" x14ac:dyDescent="0.25">
      <c r="A580" s="452">
        <v>311</v>
      </c>
      <c r="B580" s="453" t="s">
        <v>90</v>
      </c>
      <c r="C580" s="415">
        <f t="shared" ref="C580:D580" si="489">C581</f>
        <v>0</v>
      </c>
      <c r="D580" s="415">
        <f t="shared" si="489"/>
        <v>0</v>
      </c>
      <c r="E580" s="415">
        <f>E581</f>
        <v>68425.23</v>
      </c>
      <c r="F580" s="415">
        <f t="shared" ref="F580:G580" si="490">F581</f>
        <v>68425.23</v>
      </c>
      <c r="G580" s="415">
        <f t="shared" si="490"/>
        <v>68425.23</v>
      </c>
    </row>
    <row r="581" spans="1:7" x14ac:dyDescent="0.25">
      <c r="A581" s="452" t="s">
        <v>534</v>
      </c>
      <c r="B581" s="453" t="s">
        <v>91</v>
      </c>
      <c r="C581" s="415">
        <f>SUM(C582)</f>
        <v>0</v>
      </c>
      <c r="D581" s="415">
        <f t="shared" ref="D581" si="491">SUM(D582)</f>
        <v>0</v>
      </c>
      <c r="E581" s="415">
        <f>SUM(E582)</f>
        <v>68425.23</v>
      </c>
      <c r="F581" s="415">
        <f t="shared" ref="F581:G581" si="492">SUM(F582)</f>
        <v>68425.23</v>
      </c>
      <c r="G581" s="415">
        <f t="shared" si="492"/>
        <v>68425.23</v>
      </c>
    </row>
    <row r="582" spans="1:7" x14ac:dyDescent="0.25">
      <c r="A582" s="454" t="s">
        <v>494</v>
      </c>
      <c r="B582" s="357" t="s">
        <v>91</v>
      </c>
      <c r="C582" s="438">
        <v>0</v>
      </c>
      <c r="D582" s="438"/>
      <c r="E582" s="438">
        <v>68425.23</v>
      </c>
      <c r="F582" s="438">
        <v>68425.23</v>
      </c>
      <c r="G582" s="438">
        <v>68425.23</v>
      </c>
    </row>
    <row r="583" spans="1:7" x14ac:dyDescent="0.25">
      <c r="A583" s="452" t="s">
        <v>98</v>
      </c>
      <c r="B583" s="453" t="s">
        <v>99</v>
      </c>
      <c r="C583" s="415">
        <f t="shared" ref="C583:D583" si="493">C584</f>
        <v>0</v>
      </c>
      <c r="D583" s="415">
        <f t="shared" si="493"/>
        <v>0</v>
      </c>
      <c r="E583" s="415">
        <f>E584</f>
        <v>1400</v>
      </c>
      <c r="F583" s="415">
        <f t="shared" ref="F583:G583" si="494">F584</f>
        <v>1400</v>
      </c>
      <c r="G583" s="415">
        <f t="shared" si="494"/>
        <v>1400</v>
      </c>
    </row>
    <row r="584" spans="1:7" x14ac:dyDescent="0.25">
      <c r="A584" s="452" t="s">
        <v>100</v>
      </c>
      <c r="B584" s="453" t="s">
        <v>99</v>
      </c>
      <c r="C584" s="415">
        <f t="shared" ref="C584:D584" si="495">SUM(C585:C586)</f>
        <v>0</v>
      </c>
      <c r="D584" s="415">
        <f t="shared" si="495"/>
        <v>0</v>
      </c>
      <c r="E584" s="415">
        <f>SUM(E585:E586)</f>
        <v>1400</v>
      </c>
      <c r="F584" s="415">
        <f>SUM(F585:F586)</f>
        <v>1400</v>
      </c>
      <c r="G584" s="415">
        <f>SUM(G585:G586)</f>
        <v>1400</v>
      </c>
    </row>
    <row r="585" spans="1:7" x14ac:dyDescent="0.25">
      <c r="A585" s="454" t="s">
        <v>502</v>
      </c>
      <c r="B585" s="357" t="s">
        <v>415</v>
      </c>
      <c r="C585" s="438">
        <v>0</v>
      </c>
      <c r="D585" s="438">
        <v>0</v>
      </c>
      <c r="E585" s="438">
        <v>600</v>
      </c>
      <c r="F585" s="438">
        <v>600</v>
      </c>
      <c r="G585" s="438">
        <v>600</v>
      </c>
    </row>
    <row r="586" spans="1:7" x14ac:dyDescent="0.25">
      <c r="A586" s="454" t="s">
        <v>503</v>
      </c>
      <c r="B586" s="357" t="s">
        <v>410</v>
      </c>
      <c r="C586" s="438">
        <v>0</v>
      </c>
      <c r="D586" s="438">
        <v>0</v>
      </c>
      <c r="E586" s="438">
        <v>800</v>
      </c>
      <c r="F586" s="438">
        <v>800</v>
      </c>
      <c r="G586" s="438">
        <v>800</v>
      </c>
    </row>
    <row r="587" spans="1:7" x14ac:dyDescent="0.25">
      <c r="A587" s="452" t="s">
        <v>213</v>
      </c>
      <c r="B587" s="453" t="s">
        <v>101</v>
      </c>
      <c r="C587" s="415">
        <f t="shared" ref="C587:D587" si="496">C588</f>
        <v>0</v>
      </c>
      <c r="D587" s="415">
        <f t="shared" si="496"/>
        <v>0</v>
      </c>
      <c r="E587" s="415">
        <f>E588</f>
        <v>13521.15</v>
      </c>
      <c r="F587" s="415">
        <f t="shared" ref="F587:G587" si="497">F588</f>
        <v>13521.15</v>
      </c>
      <c r="G587" s="415">
        <f t="shared" si="497"/>
        <v>13521.15</v>
      </c>
    </row>
    <row r="588" spans="1:7" x14ac:dyDescent="0.25">
      <c r="A588" s="452" t="s">
        <v>214</v>
      </c>
      <c r="B588" s="453" t="s">
        <v>102</v>
      </c>
      <c r="C588" s="415">
        <f t="shared" ref="C588:D588" si="498">SUM(C589)</f>
        <v>0</v>
      </c>
      <c r="D588" s="415">
        <f t="shared" si="498"/>
        <v>0</v>
      </c>
      <c r="E588" s="415">
        <f>SUM(E589)</f>
        <v>13521.15</v>
      </c>
      <c r="F588" s="415">
        <f t="shared" ref="F588:G588" si="499">SUM(F589)</f>
        <v>13521.15</v>
      </c>
      <c r="G588" s="415">
        <f t="shared" si="499"/>
        <v>13521.15</v>
      </c>
    </row>
    <row r="589" spans="1:7" x14ac:dyDescent="0.25">
      <c r="A589" s="454" t="s">
        <v>504</v>
      </c>
      <c r="B589" s="357" t="s">
        <v>102</v>
      </c>
      <c r="C589" s="438">
        <v>0</v>
      </c>
      <c r="D589" s="438">
        <v>0</v>
      </c>
      <c r="E589" s="438">
        <v>13521.15</v>
      </c>
      <c r="F589" s="438">
        <v>13521.15</v>
      </c>
      <c r="G589" s="438">
        <v>13521.15</v>
      </c>
    </row>
    <row r="590" spans="1:7" s="416" customFormat="1" x14ac:dyDescent="0.25">
      <c r="A590" s="480" t="s">
        <v>367</v>
      </c>
      <c r="B590" s="481" t="s">
        <v>103</v>
      </c>
      <c r="C590" s="443">
        <f>C591+C600+C602</f>
        <v>0</v>
      </c>
      <c r="D590" s="443">
        <f>D591+D600+D602</f>
        <v>0</v>
      </c>
      <c r="E590" s="443">
        <f>E591+E600+E602</f>
        <v>19563.5</v>
      </c>
      <c r="F590" s="443">
        <f>F591+F600+F602</f>
        <v>19563.5</v>
      </c>
      <c r="G590" s="443">
        <f>G591+G600+G602</f>
        <v>19563.5</v>
      </c>
    </row>
    <row r="591" spans="1:7" s="416" customFormat="1" x14ac:dyDescent="0.25">
      <c r="A591" s="452" t="s">
        <v>216</v>
      </c>
      <c r="B591" s="453" t="s">
        <v>104</v>
      </c>
      <c r="C591" s="415">
        <f>C592+C596+C598</f>
        <v>0</v>
      </c>
      <c r="D591" s="415">
        <f>D592+D596+D598</f>
        <v>0</v>
      </c>
      <c r="E591" s="415">
        <f>E592+E596+E598</f>
        <v>17642</v>
      </c>
      <c r="F591" s="415">
        <f>F592+F596+F598</f>
        <v>17642</v>
      </c>
      <c r="G591" s="415">
        <f>G592+G596+G598</f>
        <v>17642</v>
      </c>
    </row>
    <row r="592" spans="1:7" s="416" customFormat="1" x14ac:dyDescent="0.25">
      <c r="A592" s="452" t="s">
        <v>105</v>
      </c>
      <c r="B592" s="453" t="s">
        <v>106</v>
      </c>
      <c r="C592" s="415">
        <f>SUM(C593:C595)</f>
        <v>0</v>
      </c>
      <c r="D592" s="415">
        <f t="shared" ref="D592:G592" si="500">SUM(D593:D595)</f>
        <v>0</v>
      </c>
      <c r="E592" s="415">
        <f t="shared" si="500"/>
        <v>7400</v>
      </c>
      <c r="F592" s="415">
        <f t="shared" si="500"/>
        <v>7400</v>
      </c>
      <c r="G592" s="415">
        <f t="shared" si="500"/>
        <v>7400</v>
      </c>
    </row>
    <row r="593" spans="1:7" s="416" customFormat="1" x14ac:dyDescent="0.25">
      <c r="A593" s="454" t="s">
        <v>535</v>
      </c>
      <c r="B593" s="357" t="s">
        <v>416</v>
      </c>
      <c r="C593" s="438">
        <v>0</v>
      </c>
      <c r="D593" s="438">
        <v>0</v>
      </c>
      <c r="E593" s="438">
        <v>900</v>
      </c>
      <c r="F593" s="438">
        <v>900</v>
      </c>
      <c r="G593" s="438">
        <v>900</v>
      </c>
    </row>
    <row r="594" spans="1:7" s="416" customFormat="1" x14ac:dyDescent="0.25">
      <c r="A594" s="454" t="s">
        <v>542</v>
      </c>
      <c r="B594" s="357" t="s">
        <v>418</v>
      </c>
      <c r="C594" s="438"/>
      <c r="D594" s="438"/>
      <c r="E594" s="438">
        <v>4500</v>
      </c>
      <c r="F594" s="438">
        <v>4500</v>
      </c>
      <c r="G594" s="438">
        <v>4500</v>
      </c>
    </row>
    <row r="595" spans="1:7" s="416" customFormat="1" x14ac:dyDescent="0.25">
      <c r="A595" s="454" t="s">
        <v>524</v>
      </c>
      <c r="B595" s="357" t="s">
        <v>419</v>
      </c>
      <c r="C595" s="438"/>
      <c r="D595" s="438"/>
      <c r="E595" s="438">
        <v>2000</v>
      </c>
      <c r="F595" s="438">
        <v>2000</v>
      </c>
      <c r="G595" s="438">
        <v>2000</v>
      </c>
    </row>
    <row r="596" spans="1:7" s="416" customFormat="1" x14ac:dyDescent="0.25">
      <c r="A596" s="452" t="s">
        <v>107</v>
      </c>
      <c r="B596" s="453" t="s">
        <v>108</v>
      </c>
      <c r="C596" s="415">
        <f t="shared" ref="C596:D596" si="501">SUM(C597)</f>
        <v>0</v>
      </c>
      <c r="D596" s="415">
        <f t="shared" si="501"/>
        <v>0</v>
      </c>
      <c r="E596" s="415">
        <f>SUM(E597)</f>
        <v>6000</v>
      </c>
      <c r="F596" s="415">
        <f t="shared" ref="F596:G596" si="502">SUM(F597)</f>
        <v>6000</v>
      </c>
      <c r="G596" s="415">
        <f t="shared" si="502"/>
        <v>6000</v>
      </c>
    </row>
    <row r="597" spans="1:7" s="416" customFormat="1" x14ac:dyDescent="0.25">
      <c r="A597" s="454" t="s">
        <v>505</v>
      </c>
      <c r="B597" s="357" t="s">
        <v>108</v>
      </c>
      <c r="C597" s="438">
        <v>0</v>
      </c>
      <c r="D597" s="438">
        <v>0</v>
      </c>
      <c r="E597" s="438">
        <v>6000</v>
      </c>
      <c r="F597" s="438">
        <v>6000</v>
      </c>
      <c r="G597" s="438">
        <v>6000</v>
      </c>
    </row>
    <row r="598" spans="1:7" s="416" customFormat="1" x14ac:dyDescent="0.25">
      <c r="A598" s="452" t="s">
        <v>109</v>
      </c>
      <c r="B598" s="453" t="s">
        <v>110</v>
      </c>
      <c r="C598" s="415">
        <f t="shared" ref="C598:D598" si="503">SUM(C599)</f>
        <v>0</v>
      </c>
      <c r="D598" s="415">
        <f t="shared" si="503"/>
        <v>0</v>
      </c>
      <c r="E598" s="415">
        <f>SUM(E599)</f>
        <v>4242</v>
      </c>
      <c r="F598" s="415">
        <f t="shared" ref="F598:G598" si="504">SUM(F599)</f>
        <v>4242</v>
      </c>
      <c r="G598" s="415">
        <f t="shared" si="504"/>
        <v>4242</v>
      </c>
    </row>
    <row r="599" spans="1:7" x14ac:dyDescent="0.25">
      <c r="A599" s="454" t="s">
        <v>525</v>
      </c>
      <c r="B599" s="357" t="s">
        <v>421</v>
      </c>
      <c r="C599" s="438">
        <v>0</v>
      </c>
      <c r="D599" s="438">
        <v>0</v>
      </c>
      <c r="E599" s="438">
        <v>4242</v>
      </c>
      <c r="F599" s="438">
        <v>4242</v>
      </c>
      <c r="G599" s="438">
        <v>4242</v>
      </c>
    </row>
    <row r="600" spans="1:7" s="416" customFormat="1" x14ac:dyDescent="0.25">
      <c r="A600" s="452" t="s">
        <v>113</v>
      </c>
      <c r="B600" s="453" t="s">
        <v>114</v>
      </c>
      <c r="C600" s="415">
        <f t="shared" ref="C600:D600" si="505">C601</f>
        <v>0</v>
      </c>
      <c r="D600" s="415">
        <f t="shared" si="505"/>
        <v>0</v>
      </c>
      <c r="E600" s="415">
        <f>E601</f>
        <v>0</v>
      </c>
      <c r="F600" s="415">
        <f t="shared" ref="F600:G600" si="506">F601</f>
        <v>0</v>
      </c>
      <c r="G600" s="415">
        <f t="shared" si="506"/>
        <v>0</v>
      </c>
    </row>
    <row r="601" spans="1:7" x14ac:dyDescent="0.25">
      <c r="A601" s="452" t="s">
        <v>119</v>
      </c>
      <c r="B601" s="453" t="s">
        <v>120</v>
      </c>
      <c r="C601" s="415"/>
      <c r="D601" s="415"/>
      <c r="E601" s="415"/>
      <c r="F601" s="415"/>
      <c r="G601" s="415"/>
    </row>
    <row r="602" spans="1:7" s="416" customFormat="1" x14ac:dyDescent="0.25">
      <c r="A602" s="452" t="s">
        <v>127</v>
      </c>
      <c r="B602" s="453" t="s">
        <v>128</v>
      </c>
      <c r="C602" s="415">
        <f t="shared" ref="C602:D602" si="507">C603+C605</f>
        <v>0</v>
      </c>
      <c r="D602" s="415">
        <f t="shared" si="507"/>
        <v>0</v>
      </c>
      <c r="E602" s="415">
        <f>E603+E605</f>
        <v>1921.5</v>
      </c>
      <c r="F602" s="415">
        <f t="shared" ref="F602:G602" si="508">F603+F605</f>
        <v>1921.5</v>
      </c>
      <c r="G602" s="415">
        <f t="shared" si="508"/>
        <v>1921.5</v>
      </c>
    </row>
    <row r="603" spans="1:7" s="416" customFormat="1" x14ac:dyDescent="0.25">
      <c r="A603" s="452" t="s">
        <v>219</v>
      </c>
      <c r="B603" s="453" t="s">
        <v>139</v>
      </c>
      <c r="C603" s="415">
        <f t="shared" ref="C603:D603" si="509">C604</f>
        <v>0</v>
      </c>
      <c r="D603" s="415">
        <f t="shared" si="509"/>
        <v>0</v>
      </c>
      <c r="E603" s="415">
        <f>E604</f>
        <v>1921.5</v>
      </c>
      <c r="F603" s="415">
        <f t="shared" ref="F603:G603" si="510">F604</f>
        <v>1921.5</v>
      </c>
      <c r="G603" s="415">
        <f t="shared" si="510"/>
        <v>1921.5</v>
      </c>
    </row>
    <row r="604" spans="1:7" x14ac:dyDescent="0.25">
      <c r="A604" s="454" t="s">
        <v>528</v>
      </c>
      <c r="B604" s="357" t="s">
        <v>451</v>
      </c>
      <c r="C604" s="438">
        <v>0</v>
      </c>
      <c r="D604" s="438">
        <v>0</v>
      </c>
      <c r="E604" s="438">
        <v>1921.5</v>
      </c>
      <c r="F604" s="438">
        <v>1921.5</v>
      </c>
      <c r="G604" s="438">
        <v>1921.5</v>
      </c>
    </row>
    <row r="605" spans="1:7" x14ac:dyDescent="0.25">
      <c r="A605" s="452" t="s">
        <v>142</v>
      </c>
      <c r="B605" s="453" t="s">
        <v>143</v>
      </c>
      <c r="C605" s="415">
        <f t="shared" ref="C605:D605" si="511">C606</f>
        <v>0</v>
      </c>
      <c r="D605" s="415">
        <f t="shared" si="511"/>
        <v>0</v>
      </c>
      <c r="E605" s="415">
        <f>E606</f>
        <v>0</v>
      </c>
      <c r="F605" s="415">
        <f t="shared" ref="F605:G605" si="512">F606</f>
        <v>0</v>
      </c>
      <c r="G605" s="415">
        <f t="shared" si="512"/>
        <v>0</v>
      </c>
    </row>
    <row r="606" spans="1:7" x14ac:dyDescent="0.25">
      <c r="A606" s="454" t="s">
        <v>529</v>
      </c>
      <c r="B606" s="357" t="s">
        <v>317</v>
      </c>
      <c r="C606" s="438">
        <v>0</v>
      </c>
      <c r="D606" s="438">
        <v>0</v>
      </c>
      <c r="E606" s="438">
        <v>0</v>
      </c>
      <c r="F606" s="438"/>
      <c r="G606" s="438"/>
    </row>
    <row r="607" spans="1:7" ht="47.25" x14ac:dyDescent="0.25">
      <c r="A607" s="490" t="s">
        <v>324</v>
      </c>
      <c r="B607" s="491" t="s">
        <v>564</v>
      </c>
      <c r="C607" s="419">
        <f t="shared" ref="C607:G608" si="513">C608</f>
        <v>0</v>
      </c>
      <c r="D607" s="419">
        <f t="shared" si="513"/>
        <v>14000</v>
      </c>
      <c r="E607" s="419">
        <f>E608</f>
        <v>14000</v>
      </c>
      <c r="F607" s="419">
        <f>F608</f>
        <v>0</v>
      </c>
      <c r="G607" s="419">
        <f>G608</f>
        <v>0</v>
      </c>
    </row>
    <row r="608" spans="1:7" x14ac:dyDescent="0.25">
      <c r="A608" s="474">
        <v>52</v>
      </c>
      <c r="B608" s="475" t="s">
        <v>225</v>
      </c>
      <c r="C608" s="422">
        <f t="shared" si="513"/>
        <v>0</v>
      </c>
      <c r="D608" s="422">
        <f t="shared" si="513"/>
        <v>14000</v>
      </c>
      <c r="E608" s="422">
        <f t="shared" si="513"/>
        <v>14000</v>
      </c>
      <c r="F608" s="422">
        <f t="shared" si="513"/>
        <v>0</v>
      </c>
      <c r="G608" s="422">
        <f t="shared" si="513"/>
        <v>0</v>
      </c>
    </row>
    <row r="609" spans="1:7" x14ac:dyDescent="0.25">
      <c r="A609" s="489" t="s">
        <v>87</v>
      </c>
      <c r="B609" s="492" t="s">
        <v>88</v>
      </c>
      <c r="C609" s="426">
        <f t="shared" ref="C609" si="514">C610+C621</f>
        <v>0</v>
      </c>
      <c r="D609" s="426">
        <f>D610+D621</f>
        <v>14000</v>
      </c>
      <c r="E609" s="426">
        <f t="shared" ref="E609:G609" si="515">E610+E621</f>
        <v>14000</v>
      </c>
      <c r="F609" s="426">
        <f t="shared" si="515"/>
        <v>0</v>
      </c>
      <c r="G609" s="426">
        <f t="shared" si="515"/>
        <v>0</v>
      </c>
    </row>
    <row r="610" spans="1:7" x14ac:dyDescent="0.25">
      <c r="A610" s="450">
        <v>31</v>
      </c>
      <c r="B610" s="451" t="s">
        <v>89</v>
      </c>
      <c r="C610" s="443">
        <f t="shared" ref="C610" si="516">C611+C614</f>
        <v>0</v>
      </c>
      <c r="D610" s="443">
        <f t="shared" ref="D610:G610" si="517">D611+D614</f>
        <v>5200</v>
      </c>
      <c r="E610" s="443">
        <f t="shared" si="517"/>
        <v>5200</v>
      </c>
      <c r="F610" s="443">
        <f t="shared" si="517"/>
        <v>0</v>
      </c>
      <c r="G610" s="443">
        <f t="shared" si="517"/>
        <v>0</v>
      </c>
    </row>
    <row r="611" spans="1:7" x14ac:dyDescent="0.25">
      <c r="A611" s="452">
        <v>311</v>
      </c>
      <c r="B611" s="453" t="s">
        <v>90</v>
      </c>
      <c r="C611" s="415">
        <f t="shared" ref="C611:G611" si="518">C612</f>
        <v>0</v>
      </c>
      <c r="D611" s="415">
        <f t="shared" si="518"/>
        <v>5200</v>
      </c>
      <c r="E611" s="415">
        <f t="shared" si="518"/>
        <v>5200</v>
      </c>
      <c r="F611" s="415">
        <f t="shared" si="518"/>
        <v>0</v>
      </c>
      <c r="G611" s="415">
        <f t="shared" si="518"/>
        <v>0</v>
      </c>
    </row>
    <row r="612" spans="1:7" x14ac:dyDescent="0.25">
      <c r="A612" s="452" t="s">
        <v>534</v>
      </c>
      <c r="B612" s="453" t="s">
        <v>91</v>
      </c>
      <c r="C612" s="415">
        <f t="shared" ref="C612:G612" si="519">SUM(C613)</f>
        <v>0</v>
      </c>
      <c r="D612" s="415">
        <f t="shared" si="519"/>
        <v>5200</v>
      </c>
      <c r="E612" s="415">
        <f t="shared" si="519"/>
        <v>5200</v>
      </c>
      <c r="F612" s="415">
        <f t="shared" si="519"/>
        <v>0</v>
      </c>
      <c r="G612" s="415">
        <f t="shared" si="519"/>
        <v>0</v>
      </c>
    </row>
    <row r="613" spans="1:7" x14ac:dyDescent="0.25">
      <c r="A613" s="454" t="s">
        <v>494</v>
      </c>
      <c r="B613" s="357" t="s">
        <v>91</v>
      </c>
      <c r="C613" s="438">
        <v>0</v>
      </c>
      <c r="D613" s="438">
        <v>5200</v>
      </c>
      <c r="E613" s="438">
        <v>5200</v>
      </c>
      <c r="F613" s="438"/>
      <c r="G613" s="438"/>
    </row>
    <row r="614" spans="1:7" hidden="1" x14ac:dyDescent="0.25">
      <c r="A614" s="452" t="s">
        <v>98</v>
      </c>
      <c r="B614" s="453" t="s">
        <v>99</v>
      </c>
      <c r="C614" s="415">
        <f t="shared" ref="C614:D614" si="520">C615</f>
        <v>0</v>
      </c>
      <c r="D614" s="415">
        <f t="shared" si="520"/>
        <v>0</v>
      </c>
      <c r="E614" s="415">
        <f>E615</f>
        <v>0</v>
      </c>
      <c r="F614" s="415">
        <f t="shared" ref="F614:G614" si="521">F615</f>
        <v>0</v>
      </c>
      <c r="G614" s="415">
        <f t="shared" si="521"/>
        <v>0</v>
      </c>
    </row>
    <row r="615" spans="1:7" hidden="1" x14ac:dyDescent="0.25">
      <c r="A615" s="452" t="s">
        <v>100</v>
      </c>
      <c r="B615" s="453" t="s">
        <v>99</v>
      </c>
      <c r="C615" s="415">
        <f t="shared" ref="C615:D615" si="522">SUM(C616:C617)</f>
        <v>0</v>
      </c>
      <c r="D615" s="415">
        <f t="shared" si="522"/>
        <v>0</v>
      </c>
      <c r="E615" s="415">
        <f>SUM(E616:E617)</f>
        <v>0</v>
      </c>
      <c r="F615" s="415">
        <f>SUM(F616:F617)</f>
        <v>0</v>
      </c>
      <c r="G615" s="415">
        <f>SUM(G616:G617)</f>
        <v>0</v>
      </c>
    </row>
    <row r="616" spans="1:7" hidden="1" x14ac:dyDescent="0.25">
      <c r="A616" s="454" t="s">
        <v>502</v>
      </c>
      <c r="B616" s="357" t="s">
        <v>415</v>
      </c>
      <c r="C616" s="438">
        <v>0</v>
      </c>
      <c r="D616" s="438">
        <v>0</v>
      </c>
      <c r="E616" s="438">
        <v>0</v>
      </c>
      <c r="F616" s="438">
        <v>0</v>
      </c>
      <c r="G616" s="438">
        <v>0</v>
      </c>
    </row>
    <row r="617" spans="1:7" hidden="1" x14ac:dyDescent="0.25">
      <c r="A617" s="454" t="s">
        <v>503</v>
      </c>
      <c r="B617" s="357" t="s">
        <v>410</v>
      </c>
      <c r="C617" s="438">
        <v>0</v>
      </c>
      <c r="D617" s="438">
        <v>0</v>
      </c>
      <c r="E617" s="438">
        <v>0</v>
      </c>
      <c r="F617" s="438">
        <v>0</v>
      </c>
      <c r="G617" s="438">
        <v>0</v>
      </c>
    </row>
    <row r="618" spans="1:7" hidden="1" x14ac:dyDescent="0.25">
      <c r="A618" s="452" t="s">
        <v>213</v>
      </c>
      <c r="B618" s="453" t="s">
        <v>101</v>
      </c>
      <c r="C618" s="415">
        <f t="shared" ref="C618:D618" si="523">C619</f>
        <v>0</v>
      </c>
      <c r="D618" s="415">
        <f t="shared" si="523"/>
        <v>0</v>
      </c>
      <c r="E618" s="415">
        <f>E619</f>
        <v>0</v>
      </c>
      <c r="F618" s="415">
        <f t="shared" ref="F618:G618" si="524">F619</f>
        <v>0</v>
      </c>
      <c r="G618" s="415">
        <f t="shared" si="524"/>
        <v>0</v>
      </c>
    </row>
    <row r="619" spans="1:7" hidden="1" x14ac:dyDescent="0.25">
      <c r="A619" s="452" t="s">
        <v>214</v>
      </c>
      <c r="B619" s="453" t="s">
        <v>102</v>
      </c>
      <c r="C619" s="415">
        <f t="shared" ref="C619:D619" si="525">SUM(C620)</f>
        <v>0</v>
      </c>
      <c r="D619" s="415">
        <f t="shared" si="525"/>
        <v>0</v>
      </c>
      <c r="E619" s="415">
        <f>SUM(E620)</f>
        <v>0</v>
      </c>
      <c r="F619" s="415">
        <f t="shared" ref="F619:G619" si="526">SUM(F620)</f>
        <v>0</v>
      </c>
      <c r="G619" s="415">
        <f t="shared" si="526"/>
        <v>0</v>
      </c>
    </row>
    <row r="620" spans="1:7" hidden="1" x14ac:dyDescent="0.25">
      <c r="A620" s="454" t="s">
        <v>504</v>
      </c>
      <c r="B620" s="357" t="s">
        <v>102</v>
      </c>
      <c r="C620" s="438">
        <v>0</v>
      </c>
      <c r="D620" s="438">
        <v>0</v>
      </c>
      <c r="E620" s="438">
        <v>0</v>
      </c>
      <c r="F620" s="438">
        <v>0</v>
      </c>
      <c r="G620" s="438">
        <v>0</v>
      </c>
    </row>
    <row r="621" spans="1:7" s="416" customFormat="1" x14ac:dyDescent="0.25">
      <c r="A621" s="480" t="s">
        <v>367</v>
      </c>
      <c r="B621" s="481" t="s">
        <v>103</v>
      </c>
      <c r="C621" s="443">
        <f t="shared" ref="C621" si="527">C622+C631+C637+C644</f>
        <v>0</v>
      </c>
      <c r="D621" s="443">
        <f>D622+D631+D637+D644</f>
        <v>8800</v>
      </c>
      <c r="E621" s="443">
        <f t="shared" ref="E621:G621" si="528">E622+E631+E637+E644</f>
        <v>8800</v>
      </c>
      <c r="F621" s="443">
        <f t="shared" si="528"/>
        <v>0</v>
      </c>
      <c r="G621" s="443">
        <f t="shared" si="528"/>
        <v>0</v>
      </c>
    </row>
    <row r="622" spans="1:7" s="416" customFormat="1" x14ac:dyDescent="0.25">
      <c r="A622" s="452" t="s">
        <v>216</v>
      </c>
      <c r="B622" s="453" t="s">
        <v>104</v>
      </c>
      <c r="C622" s="415">
        <f t="shared" ref="C622" si="529">C623+C627+C629</f>
        <v>0</v>
      </c>
      <c r="D622" s="415">
        <f>D623+D627+D629</f>
        <v>3000</v>
      </c>
      <c r="E622" s="415">
        <f t="shared" ref="E622:G622" si="530">E623+E627+E629</f>
        <v>3000</v>
      </c>
      <c r="F622" s="415">
        <f t="shared" si="530"/>
        <v>0</v>
      </c>
      <c r="G622" s="415">
        <f t="shared" si="530"/>
        <v>0</v>
      </c>
    </row>
    <row r="623" spans="1:7" s="416" customFormat="1" x14ac:dyDescent="0.25">
      <c r="A623" s="452" t="s">
        <v>105</v>
      </c>
      <c r="B623" s="453" t="s">
        <v>106</v>
      </c>
      <c r="C623" s="415">
        <f t="shared" ref="C623" si="531">C624+C625+C626</f>
        <v>0</v>
      </c>
      <c r="D623" s="415">
        <f>D624+D625+D626</f>
        <v>1600</v>
      </c>
      <c r="E623" s="415">
        <f t="shared" ref="E623:G623" si="532">E624+E625+E626</f>
        <v>1600</v>
      </c>
      <c r="F623" s="415">
        <f t="shared" si="532"/>
        <v>0</v>
      </c>
      <c r="G623" s="415">
        <f t="shared" si="532"/>
        <v>0</v>
      </c>
    </row>
    <row r="624" spans="1:7" s="416" customFormat="1" x14ac:dyDescent="0.25">
      <c r="A624" s="454" t="s">
        <v>535</v>
      </c>
      <c r="B624" s="357" t="s">
        <v>416</v>
      </c>
      <c r="C624" s="438">
        <v>0</v>
      </c>
      <c r="D624" s="438">
        <v>600</v>
      </c>
      <c r="E624" s="438">
        <v>600</v>
      </c>
      <c r="F624" s="438">
        <v>0</v>
      </c>
      <c r="G624" s="438">
        <v>0</v>
      </c>
    </row>
    <row r="625" spans="1:7" s="416" customFormat="1" x14ac:dyDescent="0.25">
      <c r="A625" s="454" t="s">
        <v>542</v>
      </c>
      <c r="B625" s="357" t="s">
        <v>418</v>
      </c>
      <c r="C625" s="438"/>
      <c r="D625" s="438">
        <v>600</v>
      </c>
      <c r="E625" s="438">
        <v>600</v>
      </c>
      <c r="F625" s="438"/>
      <c r="G625" s="438"/>
    </row>
    <row r="626" spans="1:7" s="416" customFormat="1" x14ac:dyDescent="0.25">
      <c r="A626" s="454" t="s">
        <v>524</v>
      </c>
      <c r="B626" s="357" t="s">
        <v>419</v>
      </c>
      <c r="C626" s="438"/>
      <c r="D626" s="438">
        <v>400</v>
      </c>
      <c r="E626" s="438">
        <v>400</v>
      </c>
      <c r="F626" s="438"/>
      <c r="G626" s="438"/>
    </row>
    <row r="627" spans="1:7" s="416" customFormat="1" x14ac:dyDescent="0.25">
      <c r="A627" s="452" t="s">
        <v>107</v>
      </c>
      <c r="B627" s="453" t="s">
        <v>108</v>
      </c>
      <c r="C627" s="415">
        <f t="shared" ref="C627:G627" si="533">SUM(C628)</f>
        <v>0</v>
      </c>
      <c r="D627" s="415">
        <f t="shared" si="533"/>
        <v>400</v>
      </c>
      <c r="E627" s="415">
        <f t="shared" si="533"/>
        <v>400</v>
      </c>
      <c r="F627" s="415">
        <f t="shared" si="533"/>
        <v>0</v>
      </c>
      <c r="G627" s="415">
        <f t="shared" si="533"/>
        <v>0</v>
      </c>
    </row>
    <row r="628" spans="1:7" s="416" customFormat="1" x14ac:dyDescent="0.25">
      <c r="A628" s="454" t="s">
        <v>505</v>
      </c>
      <c r="B628" s="357" t="s">
        <v>108</v>
      </c>
      <c r="C628" s="438">
        <v>0</v>
      </c>
      <c r="D628" s="438">
        <v>400</v>
      </c>
      <c r="E628" s="438">
        <v>400</v>
      </c>
      <c r="F628" s="438">
        <v>0</v>
      </c>
      <c r="G628" s="438">
        <v>0</v>
      </c>
    </row>
    <row r="629" spans="1:7" s="416" customFormat="1" x14ac:dyDescent="0.25">
      <c r="A629" s="452" t="s">
        <v>109</v>
      </c>
      <c r="B629" s="453" t="s">
        <v>110</v>
      </c>
      <c r="C629" s="415">
        <f t="shared" ref="C629:G629" si="534">SUM(C630)</f>
        <v>0</v>
      </c>
      <c r="D629" s="415">
        <f t="shared" si="534"/>
        <v>1000</v>
      </c>
      <c r="E629" s="415">
        <f t="shared" si="534"/>
        <v>1000</v>
      </c>
      <c r="F629" s="415">
        <f t="shared" si="534"/>
        <v>0</v>
      </c>
      <c r="G629" s="415">
        <f t="shared" si="534"/>
        <v>0</v>
      </c>
    </row>
    <row r="630" spans="1:7" x14ac:dyDescent="0.25">
      <c r="A630" s="454" t="s">
        <v>525</v>
      </c>
      <c r="B630" s="357" t="s">
        <v>421</v>
      </c>
      <c r="C630" s="438">
        <v>0</v>
      </c>
      <c r="D630" s="438">
        <v>1000</v>
      </c>
      <c r="E630" s="438">
        <v>1000</v>
      </c>
      <c r="F630" s="438">
        <v>0</v>
      </c>
      <c r="G630" s="438">
        <v>0</v>
      </c>
    </row>
    <row r="631" spans="1:7" s="416" customFormat="1" x14ac:dyDescent="0.25">
      <c r="A631" s="452" t="s">
        <v>113</v>
      </c>
      <c r="B631" s="453" t="s">
        <v>114</v>
      </c>
      <c r="C631" s="415">
        <f t="shared" ref="C631" si="535">C632+C635</f>
        <v>0</v>
      </c>
      <c r="D631" s="415">
        <f>D632+D635</f>
        <v>2500</v>
      </c>
      <c r="E631" s="415">
        <f t="shared" ref="E631:G631" si="536">E632+E635</f>
        <v>2500</v>
      </c>
      <c r="F631" s="415">
        <f t="shared" si="536"/>
        <v>0</v>
      </c>
      <c r="G631" s="415">
        <f t="shared" si="536"/>
        <v>0</v>
      </c>
    </row>
    <row r="632" spans="1:7" s="416" customFormat="1" x14ac:dyDescent="0.25">
      <c r="A632" s="452" t="s">
        <v>115</v>
      </c>
      <c r="B632" s="453" t="s">
        <v>116</v>
      </c>
      <c r="C632" s="415">
        <f>C633+C634</f>
        <v>0</v>
      </c>
      <c r="D632" s="415">
        <f t="shared" ref="D632" si="537">D633+D634</f>
        <v>2000</v>
      </c>
      <c r="E632" s="415">
        <f t="shared" ref="E632:G632" si="538">E633+E634</f>
        <v>2000</v>
      </c>
      <c r="F632" s="415">
        <f t="shared" si="538"/>
        <v>0</v>
      </c>
      <c r="G632" s="415">
        <f t="shared" si="538"/>
        <v>0</v>
      </c>
    </row>
    <row r="633" spans="1:7" x14ac:dyDescent="0.25">
      <c r="A633" s="454" t="s">
        <v>526</v>
      </c>
      <c r="B633" s="357" t="s">
        <v>423</v>
      </c>
      <c r="C633" s="438"/>
      <c r="D633" s="438">
        <v>800</v>
      </c>
      <c r="E633" s="438">
        <v>800</v>
      </c>
      <c r="F633" s="438"/>
      <c r="G633" s="438"/>
    </row>
    <row r="634" spans="1:7" x14ac:dyDescent="0.25">
      <c r="A634" s="454" t="s">
        <v>548</v>
      </c>
      <c r="B634" s="357" t="s">
        <v>427</v>
      </c>
      <c r="C634" s="438"/>
      <c r="D634" s="438">
        <v>1200</v>
      </c>
      <c r="E634" s="438">
        <v>1200</v>
      </c>
      <c r="F634" s="438"/>
      <c r="G634" s="438"/>
    </row>
    <row r="635" spans="1:7" x14ac:dyDescent="0.25">
      <c r="A635" s="452" t="s">
        <v>119</v>
      </c>
      <c r="B635" s="453" t="s">
        <v>120</v>
      </c>
      <c r="C635" s="415">
        <f t="shared" ref="C635:G635" si="539">C636</f>
        <v>0</v>
      </c>
      <c r="D635" s="415">
        <f t="shared" si="539"/>
        <v>500</v>
      </c>
      <c r="E635" s="415">
        <f t="shared" si="539"/>
        <v>500</v>
      </c>
      <c r="F635" s="415">
        <f t="shared" si="539"/>
        <v>0</v>
      </c>
      <c r="G635" s="415">
        <f t="shared" si="539"/>
        <v>0</v>
      </c>
    </row>
    <row r="636" spans="1:7" x14ac:dyDescent="0.25">
      <c r="A636" s="454" t="s">
        <v>513</v>
      </c>
      <c r="B636" s="357" t="s">
        <v>431</v>
      </c>
      <c r="C636" s="438">
        <v>0</v>
      </c>
      <c r="D636" s="438">
        <v>500</v>
      </c>
      <c r="E636" s="438">
        <v>500</v>
      </c>
      <c r="F636" s="438">
        <v>0</v>
      </c>
      <c r="G636" s="438">
        <v>0</v>
      </c>
    </row>
    <row r="637" spans="1:7" s="416" customFormat="1" x14ac:dyDescent="0.25">
      <c r="A637" s="452" t="s">
        <v>127</v>
      </c>
      <c r="B637" s="453" t="s">
        <v>128</v>
      </c>
      <c r="C637" s="415">
        <f t="shared" ref="C637" si="540">C638+C640+C642</f>
        <v>0</v>
      </c>
      <c r="D637" s="415">
        <f>D638+D640+D642</f>
        <v>2300</v>
      </c>
      <c r="E637" s="415">
        <f t="shared" ref="E637:G637" si="541">E638+E640+E642</f>
        <v>2300</v>
      </c>
      <c r="F637" s="415">
        <f t="shared" si="541"/>
        <v>0</v>
      </c>
      <c r="G637" s="415">
        <f t="shared" si="541"/>
        <v>0</v>
      </c>
    </row>
    <row r="638" spans="1:7" s="416" customFormat="1" x14ac:dyDescent="0.25">
      <c r="A638" s="452" t="s">
        <v>129</v>
      </c>
      <c r="B638" s="453" t="s">
        <v>600</v>
      </c>
      <c r="C638" s="415">
        <f>C639</f>
        <v>0</v>
      </c>
      <c r="D638" s="415">
        <f>D639</f>
        <v>800</v>
      </c>
      <c r="E638" s="415">
        <f t="shared" ref="E638:G638" si="542">E639</f>
        <v>800</v>
      </c>
      <c r="F638" s="415">
        <f t="shared" si="542"/>
        <v>0</v>
      </c>
      <c r="G638" s="415">
        <f t="shared" si="542"/>
        <v>0</v>
      </c>
    </row>
    <row r="639" spans="1:7" x14ac:dyDescent="0.25">
      <c r="A639" s="454" t="s">
        <v>576</v>
      </c>
      <c r="B639" s="357" t="s">
        <v>577</v>
      </c>
      <c r="C639" s="438"/>
      <c r="D639" s="438">
        <v>800</v>
      </c>
      <c r="E639" s="438">
        <v>800</v>
      </c>
      <c r="F639" s="438"/>
      <c r="G639" s="438"/>
    </row>
    <row r="640" spans="1:7" s="416" customFormat="1" x14ac:dyDescent="0.25">
      <c r="A640" s="452" t="s">
        <v>219</v>
      </c>
      <c r="B640" s="453" t="s">
        <v>139</v>
      </c>
      <c r="C640" s="415">
        <f t="shared" ref="C640:G640" si="543">C641</f>
        <v>0</v>
      </c>
      <c r="D640" s="415">
        <f t="shared" si="543"/>
        <v>1000</v>
      </c>
      <c r="E640" s="415">
        <f t="shared" si="543"/>
        <v>1000</v>
      </c>
      <c r="F640" s="415">
        <f t="shared" si="543"/>
        <v>0</v>
      </c>
      <c r="G640" s="415">
        <f t="shared" si="543"/>
        <v>0</v>
      </c>
    </row>
    <row r="641" spans="1:7" x14ac:dyDescent="0.25">
      <c r="A641" s="454" t="s">
        <v>528</v>
      </c>
      <c r="B641" s="357" t="s">
        <v>451</v>
      </c>
      <c r="C641" s="438">
        <v>0</v>
      </c>
      <c r="D641" s="438">
        <v>1000</v>
      </c>
      <c r="E641" s="438">
        <v>1000</v>
      </c>
      <c r="F641" s="438">
        <v>0</v>
      </c>
      <c r="G641" s="438">
        <v>0</v>
      </c>
    </row>
    <row r="642" spans="1:7" x14ac:dyDescent="0.25">
      <c r="A642" s="452" t="s">
        <v>142</v>
      </c>
      <c r="B642" s="453" t="s">
        <v>143</v>
      </c>
      <c r="C642" s="415">
        <f t="shared" ref="C642:G642" si="544">C643</f>
        <v>0</v>
      </c>
      <c r="D642" s="415">
        <f t="shared" si="544"/>
        <v>500</v>
      </c>
      <c r="E642" s="415">
        <f t="shared" si="544"/>
        <v>500</v>
      </c>
      <c r="F642" s="415">
        <f t="shared" si="544"/>
        <v>0</v>
      </c>
      <c r="G642" s="415">
        <f t="shared" si="544"/>
        <v>0</v>
      </c>
    </row>
    <row r="643" spans="1:7" x14ac:dyDescent="0.25">
      <c r="A643" s="454" t="s">
        <v>529</v>
      </c>
      <c r="B643" s="357" t="s">
        <v>317</v>
      </c>
      <c r="C643" s="438">
        <v>0</v>
      </c>
      <c r="D643" s="438">
        <v>500</v>
      </c>
      <c r="E643" s="438">
        <v>500</v>
      </c>
      <c r="F643" s="438">
        <v>0</v>
      </c>
      <c r="G643" s="438">
        <v>0</v>
      </c>
    </row>
    <row r="644" spans="1:7" s="416" customFormat="1" x14ac:dyDescent="0.25">
      <c r="A644" s="452" t="s">
        <v>220</v>
      </c>
      <c r="B644" s="453" t="s">
        <v>145</v>
      </c>
      <c r="C644" s="415">
        <f t="shared" ref="C644:C645" si="545">C645</f>
        <v>0</v>
      </c>
      <c r="D644" s="415">
        <f t="shared" ref="D644:G645" si="546">D645</f>
        <v>1000</v>
      </c>
      <c r="E644" s="415">
        <f t="shared" si="546"/>
        <v>1000</v>
      </c>
      <c r="F644" s="415">
        <f t="shared" si="546"/>
        <v>0</v>
      </c>
      <c r="G644" s="415">
        <f t="shared" si="546"/>
        <v>0</v>
      </c>
    </row>
    <row r="645" spans="1:7" s="416" customFormat="1" x14ac:dyDescent="0.25">
      <c r="A645" s="452" t="s">
        <v>222</v>
      </c>
      <c r="B645" s="453" t="s">
        <v>149</v>
      </c>
      <c r="C645" s="415">
        <f t="shared" si="545"/>
        <v>0</v>
      </c>
      <c r="D645" s="415">
        <f t="shared" si="546"/>
        <v>1000</v>
      </c>
      <c r="E645" s="415">
        <f t="shared" si="546"/>
        <v>1000</v>
      </c>
      <c r="F645" s="415">
        <f t="shared" si="546"/>
        <v>0</v>
      </c>
      <c r="G645" s="415">
        <f t="shared" si="546"/>
        <v>0</v>
      </c>
    </row>
    <row r="646" spans="1:7" x14ac:dyDescent="0.25">
      <c r="A646" s="454" t="s">
        <v>584</v>
      </c>
      <c r="B646" s="357" t="s">
        <v>149</v>
      </c>
      <c r="C646" s="438"/>
      <c r="D646" s="438">
        <v>1000</v>
      </c>
      <c r="E646" s="438">
        <v>1000</v>
      </c>
      <c r="F646" s="438"/>
      <c r="G646" s="438"/>
    </row>
    <row r="647" spans="1:7" ht="47.25" x14ac:dyDescent="0.25">
      <c r="A647" s="490" t="s">
        <v>324</v>
      </c>
      <c r="B647" s="491" t="s">
        <v>565</v>
      </c>
      <c r="C647" s="419">
        <f t="shared" ref="C647:D647" si="547">C648</f>
        <v>0</v>
      </c>
      <c r="D647" s="419">
        <f t="shared" si="547"/>
        <v>49500</v>
      </c>
      <c r="E647" s="419">
        <f>E648</f>
        <v>0</v>
      </c>
      <c r="F647" s="419">
        <f t="shared" ref="F647:G647" si="548">F648</f>
        <v>0</v>
      </c>
      <c r="G647" s="419">
        <f t="shared" si="548"/>
        <v>0</v>
      </c>
    </row>
    <row r="648" spans="1:7" x14ac:dyDescent="0.25">
      <c r="A648" s="474" t="s">
        <v>72</v>
      </c>
      <c r="B648" s="475" t="s">
        <v>73</v>
      </c>
      <c r="C648" s="422">
        <f t="shared" ref="C648:D648" si="549">C649+C674</f>
        <v>0</v>
      </c>
      <c r="D648" s="422">
        <f t="shared" si="549"/>
        <v>49500</v>
      </c>
      <c r="E648" s="422">
        <f>E649+E674</f>
        <v>0</v>
      </c>
      <c r="F648" s="422">
        <f t="shared" ref="F648:G648" si="550">F649+F674</f>
        <v>0</v>
      </c>
      <c r="G648" s="422">
        <f t="shared" si="550"/>
        <v>0</v>
      </c>
    </row>
    <row r="649" spans="1:7" x14ac:dyDescent="0.25">
      <c r="A649" s="489" t="s">
        <v>87</v>
      </c>
      <c r="B649" s="492" t="s">
        <v>88</v>
      </c>
      <c r="C649" s="426">
        <f t="shared" ref="C649:D649" si="551">C650+C656</f>
        <v>0</v>
      </c>
      <c r="D649" s="426">
        <f t="shared" si="551"/>
        <v>19810</v>
      </c>
      <c r="E649" s="426">
        <f>E650+E656</f>
        <v>0</v>
      </c>
      <c r="F649" s="426">
        <f t="shared" ref="F649:G649" si="552">F650</f>
        <v>0</v>
      </c>
      <c r="G649" s="426">
        <f t="shared" si="552"/>
        <v>0</v>
      </c>
    </row>
    <row r="650" spans="1:7" hidden="1" x14ac:dyDescent="0.25">
      <c r="A650" s="450">
        <v>31</v>
      </c>
      <c r="B650" s="451" t="s">
        <v>89</v>
      </c>
      <c r="C650" s="443">
        <f t="shared" ref="C650:D650" si="553">C651+C654</f>
        <v>0</v>
      </c>
      <c r="D650" s="443">
        <f t="shared" si="553"/>
        <v>0</v>
      </c>
      <c r="E650" s="443">
        <f>E651+E654</f>
        <v>0</v>
      </c>
      <c r="F650" s="443">
        <f t="shared" ref="F650:G650" si="554">F651+F654</f>
        <v>0</v>
      </c>
      <c r="G650" s="443">
        <f t="shared" si="554"/>
        <v>0</v>
      </c>
    </row>
    <row r="651" spans="1:7" s="416" customFormat="1" hidden="1" x14ac:dyDescent="0.25">
      <c r="A651" s="452">
        <v>311</v>
      </c>
      <c r="B651" s="453" t="s">
        <v>90</v>
      </c>
      <c r="C651" s="415">
        <f t="shared" ref="C651:D651" si="555">C652+C653</f>
        <v>0</v>
      </c>
      <c r="D651" s="415">
        <f t="shared" si="555"/>
        <v>0</v>
      </c>
      <c r="E651" s="415">
        <f>E652+E653</f>
        <v>0</v>
      </c>
      <c r="F651" s="415">
        <f t="shared" ref="F651:G651" si="556">F652+F653</f>
        <v>0</v>
      </c>
      <c r="G651" s="415">
        <f t="shared" si="556"/>
        <v>0</v>
      </c>
    </row>
    <row r="652" spans="1:7" hidden="1" x14ac:dyDescent="0.25">
      <c r="A652" s="454">
        <v>3111</v>
      </c>
      <c r="B652" s="357" t="s">
        <v>91</v>
      </c>
      <c r="C652" s="438"/>
      <c r="D652" s="438"/>
      <c r="E652" s="438"/>
      <c r="F652" s="438"/>
      <c r="G652" s="438"/>
    </row>
    <row r="653" spans="1:7" hidden="1" x14ac:dyDescent="0.25">
      <c r="A653" s="454" t="s">
        <v>94</v>
      </c>
      <c r="B653" s="357" t="s">
        <v>95</v>
      </c>
      <c r="C653" s="438"/>
      <c r="D653" s="438"/>
      <c r="E653" s="438"/>
      <c r="F653" s="438"/>
      <c r="G653" s="438"/>
    </row>
    <row r="654" spans="1:7" s="416" customFormat="1" hidden="1" x14ac:dyDescent="0.25">
      <c r="A654" s="457">
        <v>313</v>
      </c>
      <c r="B654" s="453" t="s">
        <v>101</v>
      </c>
      <c r="C654" s="415">
        <f t="shared" ref="C654:D654" si="557">C655</f>
        <v>0</v>
      </c>
      <c r="D654" s="415">
        <f t="shared" si="557"/>
        <v>0</v>
      </c>
      <c r="E654" s="415">
        <f>E655</f>
        <v>0</v>
      </c>
      <c r="F654" s="415">
        <f t="shared" ref="F654:G654" si="558">F655</f>
        <v>0</v>
      </c>
      <c r="G654" s="415">
        <f t="shared" si="558"/>
        <v>0</v>
      </c>
    </row>
    <row r="655" spans="1:7" hidden="1" x14ac:dyDescent="0.25">
      <c r="A655" s="458">
        <v>3132</v>
      </c>
      <c r="B655" s="357" t="s">
        <v>102</v>
      </c>
      <c r="C655" s="438"/>
      <c r="D655" s="438"/>
      <c r="E655" s="438"/>
      <c r="F655" s="438"/>
      <c r="G655" s="438"/>
    </row>
    <row r="656" spans="1:7" s="416" customFormat="1" x14ac:dyDescent="0.25">
      <c r="A656" s="450">
        <v>32</v>
      </c>
      <c r="B656" s="451" t="s">
        <v>103</v>
      </c>
      <c r="C656" s="443">
        <f t="shared" ref="C656:D656" si="559">C657+C659+C665</f>
        <v>0</v>
      </c>
      <c r="D656" s="443">
        <f t="shared" si="559"/>
        <v>19810</v>
      </c>
      <c r="E656" s="443">
        <f>E657+E659+E665</f>
        <v>0</v>
      </c>
      <c r="F656" s="443">
        <f t="shared" ref="F656:G656" si="560">F657+F659+F665</f>
        <v>0</v>
      </c>
      <c r="G656" s="443">
        <f t="shared" si="560"/>
        <v>0</v>
      </c>
    </row>
    <row r="657" spans="1:7" s="416" customFormat="1" hidden="1" x14ac:dyDescent="0.25">
      <c r="A657" s="452">
        <v>321</v>
      </c>
      <c r="B657" s="453" t="s">
        <v>104</v>
      </c>
      <c r="C657" s="415">
        <f t="shared" ref="C657:D657" si="561">C658</f>
        <v>0</v>
      </c>
      <c r="D657" s="415">
        <f t="shared" si="561"/>
        <v>0</v>
      </c>
      <c r="E657" s="415">
        <f>E658</f>
        <v>0</v>
      </c>
      <c r="F657" s="415">
        <f t="shared" ref="F657:G657" si="562">F658</f>
        <v>0</v>
      </c>
      <c r="G657" s="415">
        <f t="shared" si="562"/>
        <v>0</v>
      </c>
    </row>
    <row r="658" spans="1:7" hidden="1" x14ac:dyDescent="0.25">
      <c r="A658" s="452" t="s">
        <v>107</v>
      </c>
      <c r="B658" s="453" t="s">
        <v>108</v>
      </c>
      <c r="C658" s="415"/>
      <c r="D658" s="415"/>
      <c r="E658" s="415"/>
      <c r="F658" s="415"/>
      <c r="G658" s="415"/>
    </row>
    <row r="659" spans="1:7" s="416" customFormat="1" x14ac:dyDescent="0.25">
      <c r="A659" s="452" t="s">
        <v>113</v>
      </c>
      <c r="B659" s="453" t="s">
        <v>114</v>
      </c>
      <c r="C659" s="415">
        <f t="shared" ref="C659:D659" si="563">C660+C661+C662+C664</f>
        <v>0</v>
      </c>
      <c r="D659" s="415">
        <f t="shared" si="563"/>
        <v>9950</v>
      </c>
      <c r="E659" s="415">
        <f>E660+E661+E662+E664</f>
        <v>0</v>
      </c>
      <c r="F659" s="415">
        <f t="shared" ref="F659:G659" si="564">SUM(F660:F664)</f>
        <v>0</v>
      </c>
      <c r="G659" s="415">
        <f t="shared" si="564"/>
        <v>0</v>
      </c>
    </row>
    <row r="660" spans="1:7" hidden="1" x14ac:dyDescent="0.25">
      <c r="A660" s="452" t="s">
        <v>115</v>
      </c>
      <c r="B660" s="494" t="s">
        <v>116</v>
      </c>
      <c r="C660" s="415"/>
      <c r="D660" s="415"/>
      <c r="E660" s="415"/>
      <c r="F660" s="415"/>
      <c r="G660" s="415"/>
    </row>
    <row r="661" spans="1:7" hidden="1" x14ac:dyDescent="0.25">
      <c r="A661" s="452" t="s">
        <v>117</v>
      </c>
      <c r="B661" s="494" t="s">
        <v>118</v>
      </c>
      <c r="C661" s="415"/>
      <c r="D661" s="415"/>
      <c r="E661" s="415"/>
      <c r="F661" s="415"/>
      <c r="G661" s="415"/>
    </row>
    <row r="662" spans="1:7" x14ac:dyDescent="0.25">
      <c r="A662" s="452" t="s">
        <v>121</v>
      </c>
      <c r="B662" s="453" t="s">
        <v>332</v>
      </c>
      <c r="C662" s="415">
        <f t="shared" ref="C662:D662" si="565">C663</f>
        <v>0</v>
      </c>
      <c r="D662" s="415">
        <f t="shared" si="565"/>
        <v>9950</v>
      </c>
      <c r="E662" s="415">
        <f>E663</f>
        <v>0</v>
      </c>
      <c r="F662" s="415">
        <f t="shared" ref="F662:G662" si="566">F663</f>
        <v>0</v>
      </c>
      <c r="G662" s="415">
        <f t="shared" si="566"/>
        <v>0</v>
      </c>
    </row>
    <row r="663" spans="1:7" x14ac:dyDescent="0.25">
      <c r="A663" s="454">
        <v>32241</v>
      </c>
      <c r="B663" s="357" t="s">
        <v>435</v>
      </c>
      <c r="C663" s="438">
        <v>0</v>
      </c>
      <c r="D663" s="438">
        <v>9950</v>
      </c>
      <c r="E663" s="438">
        <v>0</v>
      </c>
      <c r="F663" s="438"/>
      <c r="G663" s="438"/>
    </row>
    <row r="664" spans="1:7" hidden="1" x14ac:dyDescent="0.25">
      <c r="A664" s="452" t="s">
        <v>125</v>
      </c>
      <c r="B664" s="453" t="s">
        <v>126</v>
      </c>
      <c r="C664" s="415"/>
      <c r="D664" s="415"/>
      <c r="E664" s="415"/>
      <c r="F664" s="415"/>
      <c r="G664" s="415"/>
    </row>
    <row r="665" spans="1:7" s="416" customFormat="1" x14ac:dyDescent="0.25">
      <c r="A665" s="452" t="s">
        <v>127</v>
      </c>
      <c r="B665" s="359" t="s">
        <v>128</v>
      </c>
      <c r="C665" s="415">
        <f>C666+C667+C669+C670</f>
        <v>0</v>
      </c>
      <c r="D665" s="415">
        <f>D666+D667+D669+D670</f>
        <v>9860</v>
      </c>
      <c r="E665" s="415">
        <f>E666+E667+E669+E670</f>
        <v>0</v>
      </c>
      <c r="F665" s="415">
        <f t="shared" ref="F665:G665" si="567">F666+F667+F669+F670</f>
        <v>0</v>
      </c>
      <c r="G665" s="415">
        <f t="shared" si="567"/>
        <v>0</v>
      </c>
    </row>
    <row r="666" spans="1:7" hidden="1" x14ac:dyDescent="0.25">
      <c r="A666" s="452" t="s">
        <v>129</v>
      </c>
      <c r="B666" s="359" t="s">
        <v>130</v>
      </c>
      <c r="C666" s="438">
        <v>0</v>
      </c>
      <c r="D666" s="438">
        <v>0</v>
      </c>
      <c r="E666" s="438">
        <v>0</v>
      </c>
      <c r="F666" s="438">
        <v>0</v>
      </c>
      <c r="G666" s="438">
        <v>0</v>
      </c>
    </row>
    <row r="667" spans="1:7" x14ac:dyDescent="0.25">
      <c r="A667" s="452" t="s">
        <v>131</v>
      </c>
      <c r="B667" s="359" t="s">
        <v>132</v>
      </c>
      <c r="C667" s="415">
        <f t="shared" ref="C667:D667" si="568">C668</f>
        <v>0</v>
      </c>
      <c r="D667" s="415">
        <f t="shared" si="568"/>
        <v>9860</v>
      </c>
      <c r="E667" s="415">
        <f>E668</f>
        <v>0</v>
      </c>
      <c r="F667" s="415">
        <f t="shared" ref="F667:G667" si="569">F668</f>
        <v>0</v>
      </c>
      <c r="G667" s="415">
        <f t="shared" si="569"/>
        <v>0</v>
      </c>
    </row>
    <row r="668" spans="1:7" x14ac:dyDescent="0.25">
      <c r="A668" s="454">
        <v>32321</v>
      </c>
      <c r="B668" s="358" t="s">
        <v>442</v>
      </c>
      <c r="C668" s="438">
        <v>0</v>
      </c>
      <c r="D668" s="438">
        <f t="shared" ref="D668" si="570">7710+2150</f>
        <v>9860</v>
      </c>
      <c r="E668" s="438">
        <v>0</v>
      </c>
      <c r="F668" s="438"/>
      <c r="G668" s="438"/>
    </row>
    <row r="669" spans="1:7" hidden="1" x14ac:dyDescent="0.25">
      <c r="A669" s="452" t="s">
        <v>135</v>
      </c>
      <c r="B669" s="453" t="s">
        <v>136</v>
      </c>
      <c r="C669" s="438"/>
      <c r="D669" s="438"/>
      <c r="E669" s="438"/>
      <c r="F669" s="438"/>
      <c r="G669" s="438"/>
    </row>
    <row r="670" spans="1:7" hidden="1" x14ac:dyDescent="0.25">
      <c r="A670" s="452" t="s">
        <v>218</v>
      </c>
      <c r="B670" s="453" t="s">
        <v>138</v>
      </c>
      <c r="C670" s="438"/>
      <c r="D670" s="438"/>
      <c r="E670" s="438"/>
      <c r="F670" s="438"/>
      <c r="G670" s="438"/>
    </row>
    <row r="671" spans="1:7" s="416" customFormat="1" hidden="1" x14ac:dyDescent="0.25">
      <c r="A671" s="480" t="s">
        <v>371</v>
      </c>
      <c r="B671" s="481" t="s">
        <v>304</v>
      </c>
      <c r="C671" s="443">
        <f t="shared" ref="C671:G672" si="571">C672</f>
        <v>0</v>
      </c>
      <c r="D671" s="443">
        <f t="shared" si="571"/>
        <v>0</v>
      </c>
      <c r="E671" s="443">
        <f t="shared" si="571"/>
        <v>0</v>
      </c>
      <c r="F671" s="443">
        <f t="shared" si="571"/>
        <v>0</v>
      </c>
      <c r="G671" s="443">
        <f t="shared" si="571"/>
        <v>0</v>
      </c>
    </row>
    <row r="672" spans="1:7" s="416" customFormat="1" hidden="1" x14ac:dyDescent="0.25">
      <c r="A672" s="452" t="s">
        <v>372</v>
      </c>
      <c r="B672" s="453" t="s">
        <v>155</v>
      </c>
      <c r="C672" s="415">
        <f t="shared" si="571"/>
        <v>0</v>
      </c>
      <c r="D672" s="415">
        <f t="shared" si="571"/>
        <v>0</v>
      </c>
      <c r="E672" s="415">
        <f t="shared" si="571"/>
        <v>0</v>
      </c>
      <c r="F672" s="415">
        <f t="shared" si="571"/>
        <v>0</v>
      </c>
      <c r="G672" s="415">
        <f t="shared" si="571"/>
        <v>0</v>
      </c>
    </row>
    <row r="673" spans="1:7" hidden="1" x14ac:dyDescent="0.25">
      <c r="A673" s="454" t="s">
        <v>373</v>
      </c>
      <c r="B673" s="357" t="s">
        <v>374</v>
      </c>
      <c r="C673" s="438"/>
      <c r="D673" s="438"/>
      <c r="E673" s="438"/>
      <c r="F673" s="438"/>
      <c r="G673" s="438"/>
    </row>
    <row r="674" spans="1:7" x14ac:dyDescent="0.25">
      <c r="A674" s="424">
        <v>4</v>
      </c>
      <c r="B674" s="425" t="s">
        <v>175</v>
      </c>
      <c r="C674" s="426">
        <f>SUM(C675,C686)</f>
        <v>0</v>
      </c>
      <c r="D674" s="426">
        <f>SUM(D675,D686)</f>
        <v>29690</v>
      </c>
      <c r="E674" s="426">
        <f>SUM(E675,E686)</f>
        <v>0</v>
      </c>
      <c r="F674" s="426">
        <f>SUM(F675,F686)</f>
        <v>0</v>
      </c>
      <c r="G674" s="426">
        <f>SUM(G675,G686)</f>
        <v>0</v>
      </c>
    </row>
    <row r="675" spans="1:7" hidden="1" x14ac:dyDescent="0.25">
      <c r="A675" s="465">
        <v>42</v>
      </c>
      <c r="B675" s="493" t="s">
        <v>365</v>
      </c>
      <c r="C675" s="443">
        <f t="shared" ref="C675:D675" si="572">C676</f>
        <v>0</v>
      </c>
      <c r="D675" s="443">
        <f t="shared" si="572"/>
        <v>0</v>
      </c>
      <c r="E675" s="443">
        <f>E676</f>
        <v>0</v>
      </c>
      <c r="F675" s="443">
        <f t="shared" ref="F675:G675" si="573">F676</f>
        <v>0</v>
      </c>
      <c r="G675" s="443">
        <f t="shared" si="573"/>
        <v>0</v>
      </c>
    </row>
    <row r="676" spans="1:7" hidden="1" x14ac:dyDescent="0.25">
      <c r="A676" s="366">
        <v>422</v>
      </c>
      <c r="B676" s="468" t="s">
        <v>185</v>
      </c>
      <c r="C676" s="415">
        <f t="shared" ref="C676:D676" si="574">C677+C680+C682+C684</f>
        <v>0</v>
      </c>
      <c r="D676" s="415">
        <f t="shared" si="574"/>
        <v>0</v>
      </c>
      <c r="E676" s="415">
        <f>E677+E680+E682+E684</f>
        <v>0</v>
      </c>
      <c r="F676" s="415">
        <f t="shared" ref="F676" si="575">F677+F680+F682+F684</f>
        <v>0</v>
      </c>
      <c r="G676" s="415">
        <f t="shared" ref="G676" si="576">G677+G680+G682+G684</f>
        <v>0</v>
      </c>
    </row>
    <row r="677" spans="1:7" hidden="1" x14ac:dyDescent="0.25">
      <c r="A677" s="366">
        <v>4221</v>
      </c>
      <c r="B677" s="468" t="s">
        <v>187</v>
      </c>
      <c r="C677" s="415">
        <f t="shared" ref="C677:D677" si="577">SUM(C678:C679)</f>
        <v>0</v>
      </c>
      <c r="D677" s="415">
        <f t="shared" si="577"/>
        <v>0</v>
      </c>
      <c r="E677" s="415">
        <f>SUM(E678:E679)</f>
        <v>0</v>
      </c>
      <c r="F677" s="415">
        <f t="shared" ref="F677:G677" si="578">SUM(F678:F679)</f>
        <v>0</v>
      </c>
      <c r="G677" s="415">
        <f t="shared" si="578"/>
        <v>0</v>
      </c>
    </row>
    <row r="678" spans="1:7" hidden="1" x14ac:dyDescent="0.25">
      <c r="A678" s="363">
        <v>42211</v>
      </c>
      <c r="B678" s="477" t="s">
        <v>473</v>
      </c>
      <c r="C678" s="438">
        <v>0</v>
      </c>
      <c r="D678" s="438">
        <v>0</v>
      </c>
      <c r="E678" s="438">
        <v>0</v>
      </c>
      <c r="F678" s="438">
        <v>0</v>
      </c>
      <c r="G678" s="438">
        <v>0</v>
      </c>
    </row>
    <row r="679" spans="1:7" hidden="1" x14ac:dyDescent="0.25">
      <c r="A679" s="363">
        <v>42212</v>
      </c>
      <c r="B679" s="477" t="s">
        <v>474</v>
      </c>
      <c r="C679" s="438">
        <v>0</v>
      </c>
      <c r="D679" s="438">
        <v>0</v>
      </c>
      <c r="E679" s="438">
        <v>0</v>
      </c>
      <c r="F679" s="438">
        <v>0</v>
      </c>
      <c r="G679" s="438">
        <v>0</v>
      </c>
    </row>
    <row r="680" spans="1:7" hidden="1" x14ac:dyDescent="0.25">
      <c r="A680" s="366">
        <v>4223</v>
      </c>
      <c r="B680" s="468" t="s">
        <v>190</v>
      </c>
      <c r="C680" s="415">
        <f t="shared" ref="C680:D680" si="579">C681</f>
        <v>0</v>
      </c>
      <c r="D680" s="415">
        <f t="shared" si="579"/>
        <v>0</v>
      </c>
      <c r="E680" s="415">
        <f>E681</f>
        <v>0</v>
      </c>
      <c r="F680" s="415">
        <f t="shared" ref="F680" si="580">F681</f>
        <v>0</v>
      </c>
      <c r="G680" s="415">
        <f t="shared" ref="G680" si="581">G681</f>
        <v>0</v>
      </c>
    </row>
    <row r="681" spans="1:7" hidden="1" x14ac:dyDescent="0.25">
      <c r="A681" s="363">
        <v>42231</v>
      </c>
      <c r="B681" s="477" t="s">
        <v>477</v>
      </c>
      <c r="C681" s="438">
        <v>0</v>
      </c>
      <c r="D681" s="438">
        <v>0</v>
      </c>
      <c r="E681" s="438">
        <v>0</v>
      </c>
      <c r="F681" s="438"/>
      <c r="G681" s="438"/>
    </row>
    <row r="682" spans="1:7" hidden="1" x14ac:dyDescent="0.25">
      <c r="A682" s="366">
        <v>4224</v>
      </c>
      <c r="B682" s="468" t="s">
        <v>191</v>
      </c>
      <c r="C682" s="415">
        <f t="shared" ref="C682:D682" si="582">SUM(C683)</f>
        <v>0</v>
      </c>
      <c r="D682" s="415">
        <f t="shared" si="582"/>
        <v>0</v>
      </c>
      <c r="E682" s="415">
        <f>SUM(E683)</f>
        <v>0</v>
      </c>
      <c r="F682" s="415">
        <f t="shared" ref="F682:G682" si="583">SUM(F683)</f>
        <v>0</v>
      </c>
      <c r="G682" s="415">
        <f t="shared" si="583"/>
        <v>0</v>
      </c>
    </row>
    <row r="683" spans="1:7" hidden="1" x14ac:dyDescent="0.25">
      <c r="A683" s="363">
        <v>42241</v>
      </c>
      <c r="B683" s="477" t="s">
        <v>478</v>
      </c>
      <c r="C683" s="438">
        <v>0</v>
      </c>
      <c r="D683" s="438">
        <v>0</v>
      </c>
      <c r="E683" s="438">
        <v>0</v>
      </c>
      <c r="F683" s="438">
        <v>0</v>
      </c>
      <c r="G683" s="438">
        <v>0</v>
      </c>
    </row>
    <row r="684" spans="1:7" hidden="1" x14ac:dyDescent="0.25">
      <c r="A684" s="366">
        <v>4225</v>
      </c>
      <c r="B684" s="468" t="s">
        <v>192</v>
      </c>
      <c r="C684" s="415">
        <f t="shared" ref="C684:D684" si="584">SUM(C685)</f>
        <v>0</v>
      </c>
      <c r="D684" s="415">
        <f t="shared" si="584"/>
        <v>0</v>
      </c>
      <c r="E684" s="415">
        <f>SUM(E685)</f>
        <v>0</v>
      </c>
      <c r="F684" s="415">
        <f t="shared" ref="F684:G684" si="585">SUM(F685)</f>
        <v>0</v>
      </c>
      <c r="G684" s="415">
        <f t="shared" si="585"/>
        <v>0</v>
      </c>
    </row>
    <row r="685" spans="1:7" hidden="1" x14ac:dyDescent="0.25">
      <c r="A685" s="363">
        <v>42259</v>
      </c>
      <c r="B685" s="477" t="s">
        <v>579</v>
      </c>
      <c r="C685" s="438">
        <v>0</v>
      </c>
      <c r="D685" s="438">
        <v>0</v>
      </c>
      <c r="E685" s="438">
        <v>0</v>
      </c>
      <c r="F685" s="438">
        <v>0</v>
      </c>
      <c r="G685" s="438">
        <v>0</v>
      </c>
    </row>
    <row r="686" spans="1:7" x14ac:dyDescent="0.25">
      <c r="A686" s="450" t="s">
        <v>197</v>
      </c>
      <c r="B686" s="469" t="s">
        <v>200</v>
      </c>
      <c r="C686" s="443">
        <f t="shared" ref="C686:D688" si="586">SUM(C687)</f>
        <v>0</v>
      </c>
      <c r="D686" s="443">
        <f t="shared" si="586"/>
        <v>29690</v>
      </c>
      <c r="E686" s="443">
        <f>SUM(E687)</f>
        <v>0</v>
      </c>
      <c r="F686" s="443">
        <f>SUM(F687)</f>
        <v>0</v>
      </c>
      <c r="G686" s="443">
        <f t="shared" ref="F686:G688" si="587">SUM(G687)</f>
        <v>0</v>
      </c>
    </row>
    <row r="687" spans="1:7" x14ac:dyDescent="0.25">
      <c r="A687" s="452" t="s">
        <v>199</v>
      </c>
      <c r="B687" s="453" t="s">
        <v>208</v>
      </c>
      <c r="C687" s="415">
        <f t="shared" si="586"/>
        <v>0</v>
      </c>
      <c r="D687" s="415">
        <f t="shared" si="586"/>
        <v>29690</v>
      </c>
      <c r="E687" s="415">
        <f>SUM(E688)</f>
        <v>0</v>
      </c>
      <c r="F687" s="415">
        <f t="shared" si="587"/>
        <v>0</v>
      </c>
      <c r="G687" s="415">
        <f t="shared" si="587"/>
        <v>0</v>
      </c>
    </row>
    <row r="688" spans="1:7" x14ac:dyDescent="0.25">
      <c r="A688" s="452" t="s">
        <v>201</v>
      </c>
      <c r="B688" s="453" t="s">
        <v>200</v>
      </c>
      <c r="C688" s="415">
        <f t="shared" si="586"/>
        <v>0</v>
      </c>
      <c r="D688" s="415">
        <f t="shared" si="586"/>
        <v>29690</v>
      </c>
      <c r="E688" s="415">
        <f>SUM(E689)</f>
        <v>0</v>
      </c>
      <c r="F688" s="415">
        <f t="shared" si="587"/>
        <v>0</v>
      </c>
      <c r="G688" s="415">
        <f t="shared" si="587"/>
        <v>0</v>
      </c>
    </row>
    <row r="689" spans="1:7" x14ac:dyDescent="0.25">
      <c r="A689" s="454" t="s">
        <v>523</v>
      </c>
      <c r="B689" s="357" t="s">
        <v>200</v>
      </c>
      <c r="C689" s="438">
        <v>0</v>
      </c>
      <c r="D689" s="438">
        <v>29690</v>
      </c>
      <c r="E689" s="438">
        <v>0</v>
      </c>
      <c r="F689" s="438">
        <v>0</v>
      </c>
      <c r="G689" s="438">
        <v>0</v>
      </c>
    </row>
    <row r="690" spans="1:7" ht="31.5" x14ac:dyDescent="0.25">
      <c r="A690" s="490" t="s">
        <v>324</v>
      </c>
      <c r="B690" s="491" t="s">
        <v>580</v>
      </c>
      <c r="C690" s="419">
        <f>C691</f>
        <v>570468.75</v>
      </c>
      <c r="D690" s="419">
        <f t="shared" ref="D690:G690" si="588">D691</f>
        <v>0</v>
      </c>
      <c r="E690" s="419">
        <f t="shared" si="588"/>
        <v>0</v>
      </c>
      <c r="F690" s="419">
        <f t="shared" si="588"/>
        <v>0</v>
      </c>
      <c r="G690" s="419">
        <f t="shared" si="588"/>
        <v>0</v>
      </c>
    </row>
    <row r="691" spans="1:7" x14ac:dyDescent="0.25">
      <c r="A691" s="474">
        <v>52</v>
      </c>
      <c r="B691" s="475" t="s">
        <v>225</v>
      </c>
      <c r="C691" s="422">
        <f>C692+C697</f>
        <v>570468.75</v>
      </c>
      <c r="D691" s="422">
        <f t="shared" ref="D691:G691" si="589">D692+D697</f>
        <v>0</v>
      </c>
      <c r="E691" s="422">
        <f t="shared" si="589"/>
        <v>0</v>
      </c>
      <c r="F691" s="422">
        <f t="shared" si="589"/>
        <v>0</v>
      </c>
      <c r="G691" s="422">
        <f t="shared" si="589"/>
        <v>0</v>
      </c>
    </row>
    <row r="692" spans="1:7" x14ac:dyDescent="0.25">
      <c r="A692" s="489" t="s">
        <v>87</v>
      </c>
      <c r="B692" s="492" t="s">
        <v>88</v>
      </c>
      <c r="C692" s="426">
        <f>C693</f>
        <v>718.75</v>
      </c>
      <c r="D692" s="426">
        <f t="shared" ref="D692:G693" si="590">D693</f>
        <v>0</v>
      </c>
      <c r="E692" s="426">
        <f t="shared" si="590"/>
        <v>0</v>
      </c>
      <c r="F692" s="426">
        <f t="shared" si="590"/>
        <v>0</v>
      </c>
      <c r="G692" s="426">
        <f t="shared" si="590"/>
        <v>0</v>
      </c>
    </row>
    <row r="693" spans="1:7" x14ac:dyDescent="0.25">
      <c r="A693" s="450">
        <v>32</v>
      </c>
      <c r="B693" s="451" t="s">
        <v>103</v>
      </c>
      <c r="C693" s="443">
        <f>C694</f>
        <v>718.75</v>
      </c>
      <c r="D693" s="443">
        <f t="shared" si="590"/>
        <v>0</v>
      </c>
      <c r="E693" s="443">
        <f t="shared" si="590"/>
        <v>0</v>
      </c>
      <c r="F693" s="443">
        <f t="shared" si="590"/>
        <v>0</v>
      </c>
      <c r="G693" s="443">
        <f t="shared" si="590"/>
        <v>0</v>
      </c>
    </row>
    <row r="694" spans="1:7" x14ac:dyDescent="0.25">
      <c r="A694" s="452" t="s">
        <v>127</v>
      </c>
      <c r="B694" s="453" t="s">
        <v>128</v>
      </c>
      <c r="C694" s="415">
        <f>C695</f>
        <v>718.75</v>
      </c>
      <c r="D694" s="415"/>
      <c r="E694" s="415"/>
      <c r="F694" s="415"/>
      <c r="G694" s="415"/>
    </row>
    <row r="695" spans="1:7" x14ac:dyDescent="0.25">
      <c r="A695" s="452" t="s">
        <v>142</v>
      </c>
      <c r="B695" s="359" t="s">
        <v>143</v>
      </c>
      <c r="C695" s="415">
        <f>SUM(C696)</f>
        <v>718.75</v>
      </c>
      <c r="D695" s="415"/>
      <c r="E695" s="415"/>
      <c r="F695" s="415"/>
      <c r="G695" s="415"/>
    </row>
    <row r="696" spans="1:7" x14ac:dyDescent="0.25">
      <c r="A696" s="454" t="s">
        <v>529</v>
      </c>
      <c r="B696" s="358" t="s">
        <v>317</v>
      </c>
      <c r="C696" s="438">
        <v>718.75</v>
      </c>
      <c r="D696" s="438"/>
      <c r="E696" s="438"/>
      <c r="F696" s="438"/>
      <c r="G696" s="438"/>
    </row>
    <row r="697" spans="1:7" x14ac:dyDescent="0.25">
      <c r="A697" s="489">
        <v>4</v>
      </c>
      <c r="B697" s="492" t="s">
        <v>175</v>
      </c>
      <c r="C697" s="426">
        <f t="shared" ref="C697:G698" si="591">C698</f>
        <v>569750</v>
      </c>
      <c r="D697" s="426">
        <f t="shared" si="591"/>
        <v>0</v>
      </c>
      <c r="E697" s="426">
        <f t="shared" si="591"/>
        <v>0</v>
      </c>
      <c r="F697" s="426">
        <f t="shared" si="591"/>
        <v>0</v>
      </c>
      <c r="G697" s="426">
        <f t="shared" si="591"/>
        <v>0</v>
      </c>
    </row>
    <row r="698" spans="1:7" x14ac:dyDescent="0.25">
      <c r="A698" s="450">
        <v>42</v>
      </c>
      <c r="B698" s="451" t="s">
        <v>365</v>
      </c>
      <c r="C698" s="443">
        <f t="shared" si="591"/>
        <v>569750</v>
      </c>
      <c r="D698" s="443">
        <f t="shared" si="591"/>
        <v>0</v>
      </c>
      <c r="E698" s="443">
        <f t="shared" si="591"/>
        <v>0</v>
      </c>
      <c r="F698" s="443">
        <f t="shared" si="591"/>
        <v>0</v>
      </c>
      <c r="G698" s="443">
        <f t="shared" si="591"/>
        <v>0</v>
      </c>
    </row>
    <row r="699" spans="1:7" x14ac:dyDescent="0.25">
      <c r="A699" s="528">
        <v>422</v>
      </c>
      <c r="B699" s="529" t="s">
        <v>185</v>
      </c>
      <c r="C699" s="415">
        <f>C700+C701+C702</f>
        <v>569750</v>
      </c>
      <c r="D699" s="415">
        <f t="shared" ref="D699:G699" si="592">D700+D701+D702</f>
        <v>0</v>
      </c>
      <c r="E699" s="415">
        <f t="shared" si="592"/>
        <v>0</v>
      </c>
      <c r="F699" s="415">
        <f t="shared" si="592"/>
        <v>0</v>
      </c>
      <c r="G699" s="415">
        <f t="shared" si="592"/>
        <v>0</v>
      </c>
    </row>
    <row r="700" spans="1:7" hidden="1" x14ac:dyDescent="0.25">
      <c r="A700" s="452">
        <v>4221</v>
      </c>
      <c r="B700" s="494" t="s">
        <v>187</v>
      </c>
      <c r="C700" s="456"/>
      <c r="D700" s="456"/>
      <c r="E700" s="456"/>
      <c r="F700" s="456"/>
      <c r="G700" s="456"/>
    </row>
    <row r="701" spans="1:7" hidden="1" x14ac:dyDescent="0.25">
      <c r="A701" s="452">
        <v>4223</v>
      </c>
      <c r="B701" s="494" t="s">
        <v>313</v>
      </c>
      <c r="C701" s="456"/>
      <c r="D701" s="456"/>
      <c r="E701" s="456"/>
      <c r="F701" s="456"/>
      <c r="G701" s="456"/>
    </row>
    <row r="702" spans="1:7" x14ac:dyDescent="0.25">
      <c r="A702" s="452">
        <v>4224</v>
      </c>
      <c r="B702" s="494" t="s">
        <v>581</v>
      </c>
      <c r="C702" s="456">
        <f>C703</f>
        <v>569750</v>
      </c>
      <c r="D702" s="456">
        <f t="shared" ref="D702:G702" si="593">D703</f>
        <v>0</v>
      </c>
      <c r="E702" s="456">
        <f t="shared" si="593"/>
        <v>0</v>
      </c>
      <c r="F702" s="456">
        <f t="shared" si="593"/>
        <v>0</v>
      </c>
      <c r="G702" s="456">
        <f t="shared" si="593"/>
        <v>0</v>
      </c>
    </row>
    <row r="703" spans="1:7" x14ac:dyDescent="0.25">
      <c r="A703" s="454">
        <v>42241</v>
      </c>
      <c r="B703" s="530" t="s">
        <v>478</v>
      </c>
      <c r="C703" s="455">
        <v>569750</v>
      </c>
      <c r="D703" s="455"/>
      <c r="E703" s="455"/>
      <c r="F703" s="455"/>
      <c r="G703" s="455"/>
    </row>
    <row r="704" spans="1:7" x14ac:dyDescent="0.25">
      <c r="A704" s="444">
        <v>3</v>
      </c>
      <c r="B704" s="444" t="s">
        <v>88</v>
      </c>
      <c r="C704" s="445">
        <f>C8+C195+C296+C339+C355+C375+C383+C429+C435+C446+C492+C511+C530+C549+C578+C609+C649+C692</f>
        <v>5084825.8800000008</v>
      </c>
      <c r="D704" s="445">
        <f t="shared" ref="D704:G704" si="594">D8+D195+D296+D339+D355+D375+D383+D429+D435+D446+D492+D511+D530+D549+D578+D609+D649+D692</f>
        <v>4244329.6000000006</v>
      </c>
      <c r="E704" s="445">
        <f t="shared" si="594"/>
        <v>5323849.9499999993</v>
      </c>
      <c r="F704" s="445">
        <f t="shared" si="594"/>
        <v>5396761.3099999996</v>
      </c>
      <c r="G704" s="445">
        <f t="shared" si="594"/>
        <v>5438063.0499999998</v>
      </c>
    </row>
    <row r="705" spans="1:7" x14ac:dyDescent="0.25">
      <c r="A705" s="444">
        <v>4</v>
      </c>
      <c r="B705" s="444" t="s">
        <v>175</v>
      </c>
      <c r="C705" s="445">
        <f>C159+C365+C474+C674+C697</f>
        <v>846874.29</v>
      </c>
      <c r="D705" s="445">
        <f t="shared" ref="D705:G705" si="595">D159+D365+D474+D674+D697</f>
        <v>369702.17000000004</v>
      </c>
      <c r="E705" s="445">
        <f t="shared" si="595"/>
        <v>350648.28</v>
      </c>
      <c r="F705" s="445">
        <f t="shared" si="595"/>
        <v>353598.28</v>
      </c>
      <c r="G705" s="445">
        <f t="shared" si="595"/>
        <v>356548.28</v>
      </c>
    </row>
    <row r="706" spans="1:7" x14ac:dyDescent="0.25">
      <c r="A706" s="444"/>
      <c r="B706" s="444" t="s">
        <v>375</v>
      </c>
      <c r="C706" s="445">
        <f t="shared" ref="C706:G706" si="596">SUM(C704:C705)</f>
        <v>5931700.1700000009</v>
      </c>
      <c r="D706" s="445">
        <f t="shared" si="596"/>
        <v>4614031.7700000005</v>
      </c>
      <c r="E706" s="445">
        <f t="shared" si="596"/>
        <v>5674498.2299999995</v>
      </c>
      <c r="F706" s="445">
        <f t="shared" si="596"/>
        <v>5750359.5899999999</v>
      </c>
      <c r="G706" s="445">
        <f t="shared" si="596"/>
        <v>5794611.3300000001</v>
      </c>
    </row>
    <row r="714" spans="1:7" s="446" customFormat="1" x14ac:dyDescent="0.25">
      <c r="A714" s="435"/>
      <c r="B714" s="435"/>
      <c r="C714" s="435"/>
      <c r="D714" s="435"/>
      <c r="E714" s="435"/>
    </row>
  </sheetData>
  <mergeCells count="2">
    <mergeCell ref="A1:G1"/>
    <mergeCell ref="A2:G2"/>
  </mergeCells>
  <pageMargins left="0.70866141732283472" right="0.70866141732283472" top="0.74803149606299213" bottom="0.74803149606299213" header="0.31496062992125984" footer="0.31496062992125984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SAŽETAK</vt:lpstr>
      <vt:lpstr>Prihodi po ekonomskoj klas</vt:lpstr>
      <vt:lpstr>RASHODI-ek.kl.</vt:lpstr>
      <vt:lpstr>Prihodi po ek klas i izvorima</vt:lpstr>
      <vt:lpstr> PRIHODI I RASHODI-izvori</vt:lpstr>
      <vt:lpstr>Prih.i rash.</vt:lpstr>
      <vt:lpstr>RASHODI-funkcijska</vt:lpstr>
      <vt:lpstr>Rekapitulacija Posebni dio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fakture10</dc:creator>
  <cp:lastModifiedBy>Vanja Kovac</cp:lastModifiedBy>
  <cp:lastPrinted>2025-12-29T11:57:11Z</cp:lastPrinted>
  <dcterms:created xsi:type="dcterms:W3CDTF">2015-06-05T18:19:34Z</dcterms:created>
  <dcterms:modified xsi:type="dcterms:W3CDTF">2025-12-29T12:29:01Z</dcterms:modified>
</cp:coreProperties>
</file>