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dusan\Desktop\Izvršenje financijskog plana\Izvršenje financijskog plana 2025\"/>
    </mc:Choice>
  </mc:AlternateContent>
  <xr:revisionPtr revIDLastSave="0" documentId="13_ncr:1_{565DDE10-9226-45A5-B19F-DFEB6656C1B6}" xr6:coauthVersionLast="47" xr6:coauthVersionMax="47" xr10:uidLastSave="{00000000-0000-0000-0000-000000000000}"/>
  <bookViews>
    <workbookView xWindow="-120" yWindow="-120" windowWidth="29040" windowHeight="15840" tabRatio="660" xr2:uid="{00000000-000D-0000-FFFF-FFFF00000000}"/>
  </bookViews>
  <sheets>
    <sheet name="SAŽETAK" sheetId="3" r:id="rId1"/>
    <sheet name="Prihodi po ekonomskoj klas" sheetId="2" r:id="rId2"/>
    <sheet name="RASHODI-ek.kl." sheetId="4" r:id="rId3"/>
    <sheet name="Prihodi po ek klas i izvorima" sheetId="1" r:id="rId4"/>
    <sheet name=" PRIHODI I RASHODI-izvori" sheetId="5" r:id="rId5"/>
    <sheet name="RASHODI-funkcijska" sheetId="8" r:id="rId6"/>
    <sheet name="Rekapitulacija Posebni dio" sheetId="6" r:id="rId7"/>
    <sheet name="Kontrolna tablica" sheetId="11" r:id="rId8"/>
    <sheet name="RAČUN FINANCIRANJA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3" l="1"/>
  <c r="F390" i="5"/>
  <c r="E390" i="5"/>
  <c r="L10" i="3"/>
  <c r="K10" i="3"/>
  <c r="C35" i="6"/>
  <c r="E85" i="5" s="1"/>
  <c r="I419" i="5"/>
  <c r="J419" i="5"/>
  <c r="C669" i="6"/>
  <c r="C37" i="6"/>
  <c r="C9" i="6"/>
  <c r="E477" i="5"/>
  <c r="E476" i="5" s="1"/>
  <c r="C125" i="6"/>
  <c r="C123" i="6"/>
  <c r="C119" i="6"/>
  <c r="C117" i="6"/>
  <c r="C115" i="6"/>
  <c r="C111" i="6"/>
  <c r="C109" i="6"/>
  <c r="C102" i="6"/>
  <c r="C101" i="6" s="1"/>
  <c r="C97" i="6"/>
  <c r="C95" i="6"/>
  <c r="C90" i="6"/>
  <c r="C88" i="6"/>
  <c r="C81" i="6"/>
  <c r="C79" i="6"/>
  <c r="C75" i="6"/>
  <c r="C68" i="6"/>
  <c r="C71" i="6"/>
  <c r="C66" i="6"/>
  <c r="C61" i="6"/>
  <c r="C56" i="6"/>
  <c r="C52" i="6"/>
  <c r="C46" i="6"/>
  <c r="C43" i="6"/>
  <c r="C40" i="6"/>
  <c r="C38" i="6"/>
  <c r="C558" i="6"/>
  <c r="C464" i="6"/>
  <c r="H396" i="6"/>
  <c r="G397" i="6"/>
  <c r="G398" i="6"/>
  <c r="G399" i="6"/>
  <c r="G400" i="6"/>
  <c r="G401" i="6"/>
  <c r="C30" i="6"/>
  <c r="E279" i="5"/>
  <c r="D398" i="6"/>
  <c r="C398" i="6"/>
  <c r="D397" i="6"/>
  <c r="C397" i="6"/>
  <c r="C396" i="6" s="1"/>
  <c r="C11" i="6"/>
  <c r="C15" i="6"/>
  <c r="C17" i="6"/>
  <c r="C20" i="6"/>
  <c r="C19" i="6" s="1"/>
  <c r="C28" i="6"/>
  <c r="C27" i="6" s="1"/>
  <c r="E92" i="5"/>
  <c r="C86" i="6"/>
  <c r="C105" i="6"/>
  <c r="C104" i="6" s="1"/>
  <c r="C130" i="6"/>
  <c r="C133" i="6"/>
  <c r="C138" i="6"/>
  <c r="C141" i="6"/>
  <c r="C140" i="6" s="1"/>
  <c r="C145" i="6"/>
  <c r="C144" i="6" s="1"/>
  <c r="C143" i="6" s="1"/>
  <c r="C149" i="6"/>
  <c r="C154" i="6"/>
  <c r="C151" i="6" s="1"/>
  <c r="C160" i="6"/>
  <c r="C157" i="6" s="1"/>
  <c r="C164" i="6"/>
  <c r="C165" i="6"/>
  <c r="C167" i="6"/>
  <c r="C171" i="6"/>
  <c r="C176" i="6"/>
  <c r="C179" i="6"/>
  <c r="C182" i="6"/>
  <c r="C184" i="6"/>
  <c r="C186" i="6"/>
  <c r="C187" i="6"/>
  <c r="C189" i="6"/>
  <c r="C193" i="6"/>
  <c r="C192" i="6" s="1"/>
  <c r="C191" i="6" s="1"/>
  <c r="C195" i="6"/>
  <c r="C201" i="6"/>
  <c r="C205" i="6"/>
  <c r="C208" i="6"/>
  <c r="C207" i="6" s="1"/>
  <c r="C211" i="6"/>
  <c r="C210" i="6" s="1"/>
  <c r="C215" i="6"/>
  <c r="C217" i="6"/>
  <c r="C219" i="6"/>
  <c r="C223" i="6"/>
  <c r="E276" i="5"/>
  <c r="C236" i="6"/>
  <c r="C243" i="6"/>
  <c r="C245" i="6"/>
  <c r="C248" i="6"/>
  <c r="C251" i="6"/>
  <c r="C250" i="6" s="1"/>
  <c r="C255" i="6"/>
  <c r="C254" i="6" s="1"/>
  <c r="C263" i="6"/>
  <c r="C262" i="6" s="1"/>
  <c r="C269" i="6"/>
  <c r="C268" i="6" s="1"/>
  <c r="C272" i="6"/>
  <c r="C274" i="6"/>
  <c r="C277" i="6"/>
  <c r="C281" i="6"/>
  <c r="C280" i="6" s="1"/>
  <c r="C284" i="6"/>
  <c r="C286" i="6"/>
  <c r="C293" i="6"/>
  <c r="C295" i="6"/>
  <c r="C301" i="6"/>
  <c r="C300" i="6" s="1"/>
  <c r="C305" i="6"/>
  <c r="C308" i="6"/>
  <c r="C307" i="6" s="1"/>
  <c r="C311" i="6"/>
  <c r="C310" i="6" s="1"/>
  <c r="C322" i="6"/>
  <c r="C332" i="6"/>
  <c r="C331" i="6" s="1"/>
  <c r="C338" i="6"/>
  <c r="C343" i="6"/>
  <c r="C342" i="6" s="1"/>
  <c r="C347" i="6"/>
  <c r="C346" i="6" s="1"/>
  <c r="C345" i="6" s="1"/>
  <c r="C350" i="6"/>
  <c r="C364" i="6"/>
  <c r="C363" i="6" s="1"/>
  <c r="C362" i="6" s="1"/>
  <c r="C361" i="6" s="1"/>
  <c r="C368" i="6"/>
  <c r="C372" i="6"/>
  <c r="C371" i="6" s="1"/>
  <c r="C370" i="6" s="1"/>
  <c r="C379" i="6"/>
  <c r="C382" i="6"/>
  <c r="C385" i="6"/>
  <c r="C384" i="6" s="1"/>
  <c r="C389" i="6"/>
  <c r="C394" i="6"/>
  <c r="C391" i="6" s="1"/>
  <c r="C405" i="6"/>
  <c r="C404" i="6" s="1"/>
  <c r="C403" i="6" s="1"/>
  <c r="C402" i="6" s="1"/>
  <c r="C416" i="6"/>
  <c r="C426" i="6"/>
  <c r="C425" i="6" s="1"/>
  <c r="C433" i="6"/>
  <c r="C436" i="6"/>
  <c r="C438" i="6"/>
  <c r="C442" i="6"/>
  <c r="C446" i="6"/>
  <c r="C450" i="6"/>
  <c r="C456" i="6"/>
  <c r="C461" i="6"/>
  <c r="C466" i="6"/>
  <c r="C468" i="6"/>
  <c r="C472" i="6"/>
  <c r="C471" i="6" s="1"/>
  <c r="C470" i="6" s="1"/>
  <c r="C479" i="6"/>
  <c r="C478" i="6" s="1"/>
  <c r="C481" i="6"/>
  <c r="C484" i="6"/>
  <c r="C483" i="6" s="1"/>
  <c r="C487" i="6"/>
  <c r="C489" i="6"/>
  <c r="C491" i="6"/>
  <c r="C498" i="6"/>
  <c r="C497" i="6" s="1"/>
  <c r="C500" i="6"/>
  <c r="C503" i="6"/>
  <c r="C502" i="6" s="1"/>
  <c r="C506" i="6"/>
  <c r="C508" i="6"/>
  <c r="C510" i="6"/>
  <c r="C517" i="6"/>
  <c r="C516" i="6" s="1"/>
  <c r="C519" i="6"/>
  <c r="C522" i="6"/>
  <c r="C521" i="6" s="1"/>
  <c r="C525" i="6"/>
  <c r="C527" i="6"/>
  <c r="C529" i="6"/>
  <c r="C536" i="6"/>
  <c r="C535" i="6" s="1"/>
  <c r="C539" i="6"/>
  <c r="C538" i="6" s="1"/>
  <c r="C543" i="6"/>
  <c r="C542" i="6" s="1"/>
  <c r="C547" i="6"/>
  <c r="C549" i="6"/>
  <c r="C551" i="6"/>
  <c r="C553" i="6"/>
  <c r="C556" i="6"/>
  <c r="C567" i="6"/>
  <c r="C564" i="6" s="1"/>
  <c r="C569" i="6"/>
  <c r="C573" i="6"/>
  <c r="C571" i="6" s="1"/>
  <c r="C576" i="6"/>
  <c r="C575" i="6" s="1"/>
  <c r="C582" i="6"/>
  <c r="C584" i="6"/>
  <c r="C586" i="6"/>
  <c r="C588" i="6"/>
  <c r="C592" i="6"/>
  <c r="C595" i="6"/>
  <c r="C598" i="6"/>
  <c r="C597" i="6" s="1"/>
  <c r="C603" i="6"/>
  <c r="C605" i="6"/>
  <c r="C607" i="6"/>
  <c r="C614" i="6"/>
  <c r="C613" i="6" s="1"/>
  <c r="C617" i="6"/>
  <c r="C621" i="6"/>
  <c r="C620" i="6" s="1"/>
  <c r="C625" i="6"/>
  <c r="C627" i="6"/>
  <c r="C630" i="6"/>
  <c r="C634" i="6"/>
  <c r="C639" i="6"/>
  <c r="C643" i="6"/>
  <c r="C645" i="6"/>
  <c r="C647" i="6"/>
  <c r="C648" i="6"/>
  <c r="C651" i="6"/>
  <c r="C650" i="6" s="1"/>
  <c r="C658" i="6"/>
  <c r="C657" i="6" s="1"/>
  <c r="C661" i="6"/>
  <c r="C660" i="6" s="1"/>
  <c r="C666" i="6"/>
  <c r="C665" i="6" s="1"/>
  <c r="C664" i="6" s="1"/>
  <c r="C663" i="6" s="1"/>
  <c r="D12" i="2"/>
  <c r="D17" i="2"/>
  <c r="D15" i="2" s="1"/>
  <c r="D14" i="2" s="1"/>
  <c r="D18" i="2"/>
  <c r="D21" i="2"/>
  <c r="D20" i="2" s="1"/>
  <c r="D19" i="2" s="1"/>
  <c r="D24" i="2"/>
  <c r="D23" i="2" s="1"/>
  <c r="D22" i="2" s="1"/>
  <c r="D29" i="2"/>
  <c r="D28" i="2" s="1"/>
  <c r="D27" i="2" s="1"/>
  <c r="D30" i="2"/>
  <c r="D32" i="2"/>
  <c r="D31" i="2" s="1"/>
  <c r="D35" i="2"/>
  <c r="D34" i="2" s="1"/>
  <c r="D37" i="2"/>
  <c r="D36" i="2" s="1"/>
  <c r="D38" i="2"/>
  <c r="D39" i="2"/>
  <c r="D43" i="2"/>
  <c r="D44" i="2"/>
  <c r="D45" i="2"/>
  <c r="D46" i="2"/>
  <c r="D49" i="2"/>
  <c r="D51" i="2"/>
  <c r="D50" i="2" s="1"/>
  <c r="D54" i="2"/>
  <c r="D53" i="2" s="1"/>
  <c r="D55" i="2"/>
  <c r="D56" i="2"/>
  <c r="D60" i="2"/>
  <c r="D59" i="2" s="1"/>
  <c r="D62" i="2"/>
  <c r="D61" i="2" s="1"/>
  <c r="D65" i="2"/>
  <c r="D64" i="2" s="1"/>
  <c r="D63" i="2" s="1"/>
  <c r="D69" i="2"/>
  <c r="D68" i="2" s="1"/>
  <c r="D67" i="2" s="1"/>
  <c r="D66" i="2" s="1"/>
  <c r="D73" i="2"/>
  <c r="D72" i="2" s="1"/>
  <c r="D76" i="2"/>
  <c r="D191" i="4"/>
  <c r="D190" i="4" s="1"/>
  <c r="D200" i="4"/>
  <c r="D214" i="4"/>
  <c r="D213" i="4" s="1"/>
  <c r="D216" i="4"/>
  <c r="D219" i="4"/>
  <c r="D240" i="4"/>
  <c r="D246" i="4"/>
  <c r="E11" i="1"/>
  <c r="E13" i="1"/>
  <c r="E17" i="1"/>
  <c r="E18" i="1"/>
  <c r="E23" i="1"/>
  <c r="E22" i="1" s="1"/>
  <c r="E26" i="1"/>
  <c r="E25" i="1" s="1"/>
  <c r="E28" i="1"/>
  <c r="E31" i="1"/>
  <c r="E30" i="1" s="1"/>
  <c r="E34" i="1"/>
  <c r="E38" i="1"/>
  <c r="E37" i="1" s="1"/>
  <c r="E42" i="1"/>
  <c r="E41" i="1" s="1"/>
  <c r="E40" i="1" s="1"/>
  <c r="E47" i="1"/>
  <c r="E51" i="1"/>
  <c r="E50" i="1" s="1"/>
  <c r="E46" i="1" s="1"/>
  <c r="E55" i="1"/>
  <c r="E54" i="1" s="1"/>
  <c r="E53" i="1" s="1"/>
  <c r="E60" i="1"/>
  <c r="E62" i="1"/>
  <c r="E59" i="1" s="1"/>
  <c r="E58" i="1" s="1"/>
  <c r="E66" i="1"/>
  <c r="E67" i="1"/>
  <c r="E69" i="1"/>
  <c r="E73" i="1"/>
  <c r="E72" i="1" s="1"/>
  <c r="E78" i="1"/>
  <c r="E77" i="1" s="1"/>
  <c r="E76" i="1" s="1"/>
  <c r="E81" i="1" s="1"/>
  <c r="E84" i="1"/>
  <c r="E83" i="1" s="1"/>
  <c r="E82" i="1" s="1"/>
  <c r="E86" i="1" s="1"/>
  <c r="E89" i="1"/>
  <c r="E92" i="1"/>
  <c r="D75" i="2" s="1"/>
  <c r="D74" i="2" s="1"/>
  <c r="E15" i="5"/>
  <c r="E14" i="5" s="1"/>
  <c r="E13" i="5" s="1"/>
  <c r="E18" i="5"/>
  <c r="E17" i="5" s="1"/>
  <c r="E16" i="5" s="1"/>
  <c r="E30" i="5"/>
  <c r="E31" i="5"/>
  <c r="E32" i="5"/>
  <c r="E36" i="5"/>
  <c r="E35" i="5" s="1"/>
  <c r="E45" i="5"/>
  <c r="E46" i="5"/>
  <c r="E48" i="5"/>
  <c r="E47" i="5" s="1"/>
  <c r="E50" i="5"/>
  <c r="E52" i="5"/>
  <c r="E51" i="5" s="1"/>
  <c r="E56" i="5"/>
  <c r="E55" i="5" s="1"/>
  <c r="E54" i="5" s="1"/>
  <c r="E53" i="5" s="1"/>
  <c r="E62" i="5"/>
  <c r="E63" i="5"/>
  <c r="D62" i="4" s="1"/>
  <c r="E66" i="5"/>
  <c r="D65" i="4" s="1"/>
  <c r="D64" i="4" s="1"/>
  <c r="E68" i="5"/>
  <c r="E71" i="5"/>
  <c r="E72" i="5"/>
  <c r="D71" i="4" s="1"/>
  <c r="E73" i="5"/>
  <c r="D72" i="4" s="1"/>
  <c r="E74" i="5"/>
  <c r="D73" i="4" s="1"/>
  <c r="E75" i="5"/>
  <c r="E76" i="5"/>
  <c r="E79" i="5"/>
  <c r="E78" i="5" s="1"/>
  <c r="E81" i="5"/>
  <c r="D81" i="4" s="1"/>
  <c r="D80" i="4" s="1"/>
  <c r="E86" i="5"/>
  <c r="E89" i="5"/>
  <c r="E88" i="5" s="1"/>
  <c r="E91" i="5"/>
  <c r="E94" i="5"/>
  <c r="E97" i="5"/>
  <c r="E98" i="5"/>
  <c r="D98" i="4" s="1"/>
  <c r="E99" i="5"/>
  <c r="E100" i="5"/>
  <c r="D100" i="4" s="1"/>
  <c r="E103" i="5"/>
  <c r="E104" i="5"/>
  <c r="E105" i="5"/>
  <c r="D105" i="4" s="1"/>
  <c r="E107" i="5"/>
  <c r="E108" i="5"/>
  <c r="D108" i="4" s="1"/>
  <c r="E109" i="5"/>
  <c r="E112" i="5"/>
  <c r="E113" i="5"/>
  <c r="D113" i="4" s="1"/>
  <c r="E114" i="5"/>
  <c r="D114" i="4" s="1"/>
  <c r="E115" i="5"/>
  <c r="D115" i="4" s="1"/>
  <c r="E117" i="5"/>
  <c r="E116" i="5" s="1"/>
  <c r="E119" i="5"/>
  <c r="E118" i="5" s="1"/>
  <c r="E122" i="5"/>
  <c r="E124" i="5"/>
  <c r="E126" i="5"/>
  <c r="E127" i="5"/>
  <c r="E128" i="5"/>
  <c r="E130" i="5"/>
  <c r="E129" i="5" s="1"/>
  <c r="E132" i="5"/>
  <c r="D132" i="4" s="1"/>
  <c r="E133" i="5"/>
  <c r="D133" i="4" s="1"/>
  <c r="E134" i="5"/>
  <c r="D134" i="4" s="1"/>
  <c r="E135" i="5"/>
  <c r="D135" i="4" s="1"/>
  <c r="E137" i="5"/>
  <c r="D137" i="4" s="1"/>
  <c r="D136" i="4" s="1"/>
  <c r="E139" i="5"/>
  <c r="E138" i="5" s="1"/>
  <c r="E141" i="5"/>
  <c r="E142" i="5"/>
  <c r="D142" i="4" s="1"/>
  <c r="E143" i="5"/>
  <c r="E146" i="5"/>
  <c r="E145" i="5" s="1"/>
  <c r="E148" i="5"/>
  <c r="D148" i="4" s="1"/>
  <c r="E149" i="5"/>
  <c r="D149" i="4" s="1"/>
  <c r="E153" i="5"/>
  <c r="D153" i="4" s="1"/>
  <c r="D152" i="4" s="1"/>
  <c r="E156" i="5"/>
  <c r="E157" i="5"/>
  <c r="E160" i="5"/>
  <c r="E159" i="5" s="1"/>
  <c r="E162" i="5"/>
  <c r="E163" i="5"/>
  <c r="D163" i="4" s="1"/>
  <c r="E166" i="5"/>
  <c r="E165" i="5" s="1"/>
  <c r="E168" i="5"/>
  <c r="D168" i="4" s="1"/>
  <c r="D167" i="4" s="1"/>
  <c r="E170" i="5"/>
  <c r="D170" i="4" s="1"/>
  <c r="E171" i="5"/>
  <c r="D171" i="4" s="1"/>
  <c r="E172" i="5"/>
  <c r="D172" i="4" s="1"/>
  <c r="E174" i="5"/>
  <c r="E176" i="5"/>
  <c r="E177" i="5"/>
  <c r="D177" i="4" s="1"/>
  <c r="E181" i="5"/>
  <c r="D181" i="4" s="1"/>
  <c r="D180" i="4" s="1"/>
  <c r="E183" i="5"/>
  <c r="E184" i="5"/>
  <c r="D185" i="4" s="1"/>
  <c r="E185" i="5"/>
  <c r="D186" i="4" s="1"/>
  <c r="E186" i="5"/>
  <c r="D187" i="4" s="1"/>
  <c r="E188" i="5"/>
  <c r="D189" i="4" s="1"/>
  <c r="D188" i="4" s="1"/>
  <c r="E190" i="5"/>
  <c r="E189" i="5" s="1"/>
  <c r="E196" i="5"/>
  <c r="D197" i="4" s="1"/>
  <c r="E197" i="5"/>
  <c r="D198" i="4" s="1"/>
  <c r="E199" i="5"/>
  <c r="E205" i="5"/>
  <c r="D206" i="4" s="1"/>
  <c r="D205" i="4" s="1"/>
  <c r="D202" i="4" s="1"/>
  <c r="E211" i="5"/>
  <c r="E210" i="5" s="1"/>
  <c r="E207" i="5" s="1"/>
  <c r="E214" i="5"/>
  <c r="E216" i="5"/>
  <c r="E213" i="5" s="1"/>
  <c r="E221" i="5"/>
  <c r="E222" i="5"/>
  <c r="E223" i="5"/>
  <c r="D225" i="4" s="1"/>
  <c r="E226" i="5"/>
  <c r="E227" i="5"/>
  <c r="D229" i="4" s="1"/>
  <c r="E229" i="5"/>
  <c r="E230" i="5"/>
  <c r="D232" i="4" s="1"/>
  <c r="E232" i="5"/>
  <c r="E234" i="5"/>
  <c r="E237" i="5"/>
  <c r="E238" i="5"/>
  <c r="E243" i="5"/>
  <c r="E242" i="5" s="1"/>
  <c r="E241" i="5" s="1"/>
  <c r="E244" i="5"/>
  <c r="E251" i="5"/>
  <c r="E250" i="5" s="1"/>
  <c r="E255" i="5"/>
  <c r="E254" i="5" s="1"/>
  <c r="E258" i="5"/>
  <c r="E257" i="5" s="1"/>
  <c r="E256" i="5" s="1"/>
  <c r="E261" i="5"/>
  <c r="E260" i="5" s="1"/>
  <c r="E259" i="5" s="1"/>
  <c r="E265" i="5"/>
  <c r="E264" i="5" s="1"/>
  <c r="E267" i="5"/>
  <c r="E266" i="5" s="1"/>
  <c r="E269" i="5"/>
  <c r="E268" i="5" s="1"/>
  <c r="E273" i="5"/>
  <c r="E275" i="5"/>
  <c r="E278" i="5"/>
  <c r="E281" i="5"/>
  <c r="E280" i="5" s="1"/>
  <c r="E283" i="5"/>
  <c r="E282" i="5" s="1"/>
  <c r="E284" i="5"/>
  <c r="E289" i="5"/>
  <c r="E290" i="5"/>
  <c r="E296" i="5"/>
  <c r="E295" i="5" s="1"/>
  <c r="E298" i="5"/>
  <c r="E297" i="5" s="1"/>
  <c r="E301" i="5"/>
  <c r="E300" i="5" s="1"/>
  <c r="E304" i="5"/>
  <c r="E305" i="5"/>
  <c r="E309" i="5"/>
  <c r="E308" i="5" s="1"/>
  <c r="E311" i="5"/>
  <c r="E310" i="5" s="1"/>
  <c r="E317" i="5"/>
  <c r="E316" i="5" s="1"/>
  <c r="E323" i="5"/>
  <c r="E322" i="5" s="1"/>
  <c r="E326" i="5"/>
  <c r="E328" i="5"/>
  <c r="E333" i="5"/>
  <c r="E332" i="5" s="1"/>
  <c r="E336" i="5"/>
  <c r="E340" i="5"/>
  <c r="E339" i="5" s="1"/>
  <c r="E343" i="5"/>
  <c r="E342" i="5" s="1"/>
  <c r="E347" i="5"/>
  <c r="E346" i="5" s="1"/>
  <c r="E348" i="5"/>
  <c r="E350" i="5"/>
  <c r="E357" i="5"/>
  <c r="E356" i="5" s="1"/>
  <c r="E360" i="5"/>
  <c r="E359" i="5" s="1"/>
  <c r="E363" i="5"/>
  <c r="E364" i="5"/>
  <c r="E367" i="5"/>
  <c r="E366" i="5" s="1"/>
  <c r="E365" i="5" s="1"/>
  <c r="E371" i="5"/>
  <c r="E372" i="5"/>
  <c r="E373" i="5"/>
  <c r="E375" i="5"/>
  <c r="E374" i="5" s="1"/>
  <c r="E377" i="5"/>
  <c r="E376" i="5" s="1"/>
  <c r="E380" i="5"/>
  <c r="E381" i="5"/>
  <c r="E382" i="5"/>
  <c r="E388" i="5"/>
  <c r="E385" i="5" s="1"/>
  <c r="E392" i="5"/>
  <c r="E393" i="5"/>
  <c r="E395" i="5"/>
  <c r="E397" i="5"/>
  <c r="E396" i="5" s="1"/>
  <c r="E401" i="5"/>
  <c r="E399" i="5" s="1"/>
  <c r="E404" i="5"/>
  <c r="E405" i="5"/>
  <c r="E410" i="5"/>
  <c r="E406" i="5" s="1"/>
  <c r="E416" i="5"/>
  <c r="E415" i="5" s="1"/>
  <c r="E414" i="5" s="1"/>
  <c r="E423" i="5"/>
  <c r="E426" i="5"/>
  <c r="E428" i="5"/>
  <c r="E432" i="5"/>
  <c r="E436" i="5"/>
  <c r="E438" i="5"/>
  <c r="E443" i="5"/>
  <c r="E442" i="5" s="1"/>
  <c r="E441" i="5" s="1"/>
  <c r="E450" i="5"/>
  <c r="E451" i="5"/>
  <c r="E455" i="5"/>
  <c r="E454" i="5" s="1"/>
  <c r="E453" i="5" s="1"/>
  <c r="E458" i="5"/>
  <c r="E457" i="5" s="1"/>
  <c r="E456" i="5" s="1"/>
  <c r="E461" i="5"/>
  <c r="E460" i="5" s="1"/>
  <c r="E469" i="5"/>
  <c r="E468" i="5" s="1"/>
  <c r="E467" i="5" s="1"/>
  <c r="E466" i="5" s="1"/>
  <c r="E474" i="5"/>
  <c r="E473" i="5" s="1"/>
  <c r="E479" i="5"/>
  <c r="E484" i="5"/>
  <c r="E488" i="5"/>
  <c r="E487" i="5" s="1"/>
  <c r="E486" i="5" s="1"/>
  <c r="E489" i="5"/>
  <c r="E493" i="5"/>
  <c r="E492" i="5" s="1"/>
  <c r="E491" i="5" s="1"/>
  <c r="E325" i="5" l="1"/>
  <c r="E362" i="5"/>
  <c r="E361" i="5" s="1"/>
  <c r="D92" i="4"/>
  <c r="E175" i="5"/>
  <c r="E152" i="5"/>
  <c r="E151" i="5" s="1"/>
  <c r="E391" i="5"/>
  <c r="E136" i="5"/>
  <c r="E483" i="5"/>
  <c r="E482" i="5" s="1"/>
  <c r="D86" i="4"/>
  <c r="E431" i="5"/>
  <c r="E240" i="5"/>
  <c r="E422" i="5"/>
  <c r="E421" i="5" s="1"/>
  <c r="E445" i="5" s="1"/>
  <c r="C486" i="6"/>
  <c r="C505" i="6"/>
  <c r="C590" i="6"/>
  <c r="C34" i="6"/>
  <c r="C33" i="6" s="1"/>
  <c r="C108" i="6"/>
  <c r="C70" i="6"/>
  <c r="C45" i="6"/>
  <c r="D234" i="4"/>
  <c r="D233" i="4" s="1"/>
  <c r="E291" i="5"/>
  <c r="E288" i="5" s="1"/>
  <c r="E286" i="5" s="1"/>
  <c r="C228" i="6"/>
  <c r="C225" i="6"/>
  <c r="E228" i="5"/>
  <c r="E187" i="5"/>
  <c r="E182" i="5"/>
  <c r="E180" i="5"/>
  <c r="E167" i="5"/>
  <c r="E144" i="5"/>
  <c r="D144" i="4" s="1"/>
  <c r="D131" i="4"/>
  <c r="E125" i="5"/>
  <c r="E101" i="5"/>
  <c r="D101" i="4" s="1"/>
  <c r="E87" i="5"/>
  <c r="E65" i="5"/>
  <c r="D71" i="2"/>
  <c r="D70" i="2" s="1"/>
  <c r="G12" i="3" s="1"/>
  <c r="E91" i="1"/>
  <c r="E88" i="1"/>
  <c r="E87" i="1" s="1"/>
  <c r="E94" i="1" s="1"/>
  <c r="E75" i="1"/>
  <c r="D42" i="2"/>
  <c r="D41" i="2" s="1"/>
  <c r="D40" i="2" s="1"/>
  <c r="E16" i="1"/>
  <c r="E36" i="1" s="1"/>
  <c r="E10" i="1"/>
  <c r="E9" i="1" s="1"/>
  <c r="E15" i="1" s="1"/>
  <c r="D166" i="4"/>
  <c r="D165" i="4" s="1"/>
  <c r="C200" i="6"/>
  <c r="C199" i="6" s="1"/>
  <c r="C214" i="6"/>
  <c r="C449" i="6"/>
  <c r="C546" i="6"/>
  <c r="C581" i="6"/>
  <c r="C563" i="6"/>
  <c r="E274" i="5"/>
  <c r="D97" i="4"/>
  <c r="E110" i="5"/>
  <c r="D110" i="4" s="1"/>
  <c r="D160" i="4"/>
  <c r="D159" i="4" s="1"/>
  <c r="D61" i="4"/>
  <c r="D60" i="4" s="1"/>
  <c r="C602" i="6"/>
  <c r="C601" i="6" s="1"/>
  <c r="C600" i="6" s="1"/>
  <c r="C524" i="6"/>
  <c r="C460" i="6"/>
  <c r="C459" i="6" s="1"/>
  <c r="C458" i="6" s="1"/>
  <c r="C432" i="6"/>
  <c r="C234" i="6"/>
  <c r="C222" i="6"/>
  <c r="C129" i="6"/>
  <c r="C128" i="6" s="1"/>
  <c r="E403" i="5"/>
  <c r="E402" i="5" s="1"/>
  <c r="E277" i="5"/>
  <c r="E204" i="5"/>
  <c r="E201" i="5" s="1"/>
  <c r="E198" i="5" s="1"/>
  <c r="D109" i="4"/>
  <c r="D104" i="4"/>
  <c r="E80" i="5"/>
  <c r="E77" i="5" s="1"/>
  <c r="D223" i="4"/>
  <c r="D176" i="4"/>
  <c r="D146" i="4"/>
  <c r="D145" i="4" s="1"/>
  <c r="C638" i="6"/>
  <c r="C612" i="6"/>
  <c r="C441" i="6"/>
  <c r="C360" i="6"/>
  <c r="C299" i="6"/>
  <c r="C298" i="6" s="1"/>
  <c r="C297" i="6" s="1"/>
  <c r="C283" i="6"/>
  <c r="C279" i="6" s="1"/>
  <c r="D169" i="4"/>
  <c r="E355" i="5"/>
  <c r="E354" i="5" s="1"/>
  <c r="D141" i="4"/>
  <c r="C656" i="6"/>
  <c r="C655" i="6" s="1"/>
  <c r="C654" i="6" s="1"/>
  <c r="C653" i="6" s="1"/>
  <c r="C555" i="6"/>
  <c r="C534" i="6"/>
  <c r="C477" i="6"/>
  <c r="C476" i="6" s="1"/>
  <c r="C475" i="6" s="1"/>
  <c r="C474" i="6" s="1"/>
  <c r="C170" i="6"/>
  <c r="C169" i="6" s="1"/>
  <c r="C148" i="6"/>
  <c r="E233" i="5"/>
  <c r="D236" i="4"/>
  <c r="D235" i="4" s="1"/>
  <c r="D156" i="4"/>
  <c r="E155" i="5"/>
  <c r="E154" i="5" s="1"/>
  <c r="E67" i="5"/>
  <c r="D67" i="4"/>
  <c r="D66" i="4" s="1"/>
  <c r="C580" i="6"/>
  <c r="C579" i="6" s="1"/>
  <c r="E449" i="5"/>
  <c r="E448" i="5" s="1"/>
  <c r="E447" i="5" s="1"/>
  <c r="E446" i="5" s="1"/>
  <c r="E303" i="5"/>
  <c r="E302" i="5" s="1"/>
  <c r="E220" i="5"/>
  <c r="D196" i="4"/>
  <c r="D195" i="4" s="1"/>
  <c r="D194" i="4" s="1"/>
  <c r="E173" i="5"/>
  <c r="D174" i="4"/>
  <c r="D173" i="4" s="1"/>
  <c r="D162" i="4"/>
  <c r="D143" i="4"/>
  <c r="D245" i="4"/>
  <c r="D244" i="4" s="1"/>
  <c r="D243" i="4" s="1"/>
  <c r="D242" i="4" s="1"/>
  <c r="E49" i="5"/>
  <c r="D231" i="4"/>
  <c r="D230" i="4" s="1"/>
  <c r="D184" i="4"/>
  <c r="D183" i="4" s="1"/>
  <c r="D179" i="4" s="1"/>
  <c r="D178" i="4" s="1"/>
  <c r="D119" i="4"/>
  <c r="D118" i="4" s="1"/>
  <c r="D79" i="4"/>
  <c r="D78" i="4" s="1"/>
  <c r="D76" i="4" s="1"/>
  <c r="C515" i="6"/>
  <c r="C496" i="6"/>
  <c r="C495" i="6" s="1"/>
  <c r="C494" i="6" s="1"/>
  <c r="C493" i="6" s="1"/>
  <c r="C163" i="6"/>
  <c r="E164" i="5"/>
  <c r="D164" i="4" s="1"/>
  <c r="E150" i="5"/>
  <c r="D122" i="4"/>
  <c r="D126" i="4"/>
  <c r="E379" i="5"/>
  <c r="E378" i="5" s="1"/>
  <c r="E369" i="5"/>
  <c r="E272" i="5"/>
  <c r="E263" i="5"/>
  <c r="E231" i="5"/>
  <c r="E225" i="5"/>
  <c r="D112" i="4"/>
  <c r="D111" i="4" s="1"/>
  <c r="D89" i="4"/>
  <c r="D88" i="4" s="1"/>
  <c r="D85" i="4"/>
  <c r="D75" i="4"/>
  <c r="D175" i="4"/>
  <c r="C562" i="6"/>
  <c r="C388" i="6"/>
  <c r="C387" i="6" s="1"/>
  <c r="C271" i="6"/>
  <c r="C10" i="6"/>
  <c r="D99" i="4"/>
  <c r="D211" i="4"/>
  <c r="D210" i="4" s="1"/>
  <c r="D207" i="4" s="1"/>
  <c r="D199" i="4" s="1"/>
  <c r="E370" i="5"/>
  <c r="E306" i="5"/>
  <c r="E249" i="5"/>
  <c r="E248" i="5" s="1"/>
  <c r="E236" i="5"/>
  <c r="E235" i="5" s="1"/>
  <c r="D239" i="4"/>
  <c r="D238" i="4" s="1"/>
  <c r="D237" i="4" s="1"/>
  <c r="D157" i="4"/>
  <c r="D124" i="4"/>
  <c r="E111" i="5"/>
  <c r="E93" i="5"/>
  <c r="D94" i="4"/>
  <c r="D93" i="4" s="1"/>
  <c r="D74" i="4"/>
  <c r="E70" i="5"/>
  <c r="E69" i="5" s="1"/>
  <c r="D70" i="4"/>
  <c r="D127" i="4"/>
  <c r="D151" i="4"/>
  <c r="C629" i="6"/>
  <c r="C378" i="6"/>
  <c r="C377" i="6" s="1"/>
  <c r="C376" i="6" s="1"/>
  <c r="E123" i="5"/>
  <c r="D123" i="4" s="1"/>
  <c r="E12" i="5"/>
  <c r="D228" i="4"/>
  <c r="D227" i="4" s="1"/>
  <c r="D139" i="4"/>
  <c r="D138" i="4" s="1"/>
  <c r="D130" i="4"/>
  <c r="D129" i="4" s="1"/>
  <c r="E131" i="5"/>
  <c r="E102" i="5"/>
  <c r="E90" i="5"/>
  <c r="E61" i="5"/>
  <c r="D117" i="4"/>
  <c r="D116" i="4" s="1"/>
  <c r="D103" i="4"/>
  <c r="E195" i="5"/>
  <c r="E194" i="5" s="1"/>
  <c r="E193" i="5" s="1"/>
  <c r="E169" i="5"/>
  <c r="E44" i="5"/>
  <c r="E29" i="5"/>
  <c r="E26" i="5" s="1"/>
  <c r="E19" i="5" s="1"/>
  <c r="D224" i="4"/>
  <c r="D107" i="4"/>
  <c r="D91" i="4"/>
  <c r="D48" i="2"/>
  <c r="D47" i="2" s="1"/>
  <c r="D33" i="2"/>
  <c r="D58" i="2"/>
  <c r="D57" i="2" s="1"/>
  <c r="D11" i="2"/>
  <c r="E57" i="1"/>
  <c r="E8" i="1" s="1"/>
  <c r="E471" i="5"/>
  <c r="E472" i="5"/>
  <c r="E338" i="5"/>
  <c r="E335" i="5" s="1"/>
  <c r="E331" i="5" s="1"/>
  <c r="E459" i="5"/>
  <c r="D128" i="4" l="1"/>
  <c r="E84" i="5"/>
  <c r="D87" i="4"/>
  <c r="E11" i="5"/>
  <c r="D96" i="4"/>
  <c r="E60" i="5"/>
  <c r="E96" i="5"/>
  <c r="E179" i="5"/>
  <c r="E178" i="5" s="1"/>
  <c r="E495" i="5"/>
  <c r="D222" i="4"/>
  <c r="D221" i="4" s="1"/>
  <c r="D218" i="4" s="1"/>
  <c r="D212" i="4" s="1"/>
  <c r="G15" i="3" s="1"/>
  <c r="E140" i="5"/>
  <c r="D140" i="4"/>
  <c r="C213" i="6"/>
  <c r="C198" i="6" s="1"/>
  <c r="C514" i="6"/>
  <c r="C513" i="6" s="1"/>
  <c r="C512" i="6" s="1"/>
  <c r="C561" i="6"/>
  <c r="E470" i="5"/>
  <c r="C32" i="6"/>
  <c r="C8" i="6" s="1"/>
  <c r="C7" i="6" s="1"/>
  <c r="C545" i="6"/>
  <c r="C533" i="6" s="1"/>
  <c r="C532" i="6" s="1"/>
  <c r="C531" i="6" s="1"/>
  <c r="C431" i="6"/>
  <c r="C430" i="6" s="1"/>
  <c r="E106" i="5"/>
  <c r="D59" i="4"/>
  <c r="E95" i="1"/>
  <c r="E83" i="5"/>
  <c r="D106" i="4"/>
  <c r="C619" i="6"/>
  <c r="C611" i="6" s="1"/>
  <c r="C610" i="6" s="1"/>
  <c r="C609" i="6" s="1"/>
  <c r="E219" i="5"/>
  <c r="E218" i="5" s="1"/>
  <c r="E212" i="5" s="1"/>
  <c r="E271" i="5"/>
  <c r="E262" i="5" s="1"/>
  <c r="E247" i="5" s="1"/>
  <c r="D84" i="4"/>
  <c r="D90" i="4"/>
  <c r="E43" i="5"/>
  <c r="E42" i="5" s="1"/>
  <c r="E41" i="5" s="1"/>
  <c r="D102" i="4"/>
  <c r="E59" i="5"/>
  <c r="C578" i="6"/>
  <c r="C560" i="6" s="1"/>
  <c r="D155" i="4"/>
  <c r="D154" i="4" s="1"/>
  <c r="D161" i="4"/>
  <c r="D158" i="4" s="1"/>
  <c r="E368" i="5"/>
  <c r="E353" i="5" s="1"/>
  <c r="E420" i="5" s="1"/>
  <c r="D121" i="4"/>
  <c r="C162" i="6"/>
  <c r="E161" i="5"/>
  <c r="E158" i="5" s="1"/>
  <c r="D69" i="4"/>
  <c r="D68" i="4" s="1"/>
  <c r="D125" i="4"/>
  <c r="E121" i="5"/>
  <c r="D150" i="4"/>
  <c r="D147" i="4" s="1"/>
  <c r="E147" i="5"/>
  <c r="D10" i="2"/>
  <c r="E95" i="5" l="1"/>
  <c r="C197" i="6"/>
  <c r="C6" i="6" s="1"/>
  <c r="C668" i="6"/>
  <c r="C670" i="6" s="1"/>
  <c r="E352" i="5"/>
  <c r="D58" i="4"/>
  <c r="C429" i="6"/>
  <c r="D95" i="4"/>
  <c r="E120" i="5"/>
  <c r="E82" i="5" s="1"/>
  <c r="E58" i="5" s="1"/>
  <c r="D77" i="2"/>
  <c r="G11" i="3"/>
  <c r="G10" i="3" s="1"/>
  <c r="E9" i="5"/>
  <c r="E57" i="5"/>
  <c r="D83" i="4"/>
  <c r="D120" i="4"/>
  <c r="F29" i="6"/>
  <c r="H18" i="5"/>
  <c r="E29" i="6"/>
  <c r="D396" i="6"/>
  <c r="G396" i="6" s="1"/>
  <c r="H400" i="6"/>
  <c r="H401" i="6"/>
  <c r="F400" i="6"/>
  <c r="F399" i="6" s="1"/>
  <c r="F398" i="6" s="1"/>
  <c r="E400" i="6"/>
  <c r="E399" i="6" s="1"/>
  <c r="E398" i="6" s="1"/>
  <c r="E397" i="6" s="1"/>
  <c r="E396" i="6" s="1"/>
  <c r="H12" i="1"/>
  <c r="G28" i="5"/>
  <c r="G27" i="5" s="1"/>
  <c r="H28" i="5"/>
  <c r="G34" i="5"/>
  <c r="G33" i="5" s="1"/>
  <c r="G39" i="5"/>
  <c r="G40" i="5"/>
  <c r="H40" i="5"/>
  <c r="I40" i="5" s="1"/>
  <c r="H39" i="5"/>
  <c r="I39" i="5" s="1"/>
  <c r="H34" i="5"/>
  <c r="I34" i="5" s="1"/>
  <c r="F57" i="6"/>
  <c r="F89" i="6"/>
  <c r="F127" i="6"/>
  <c r="F116" i="6"/>
  <c r="F114" i="6"/>
  <c r="F98" i="6"/>
  <c r="F94" i="6"/>
  <c r="F59" i="6"/>
  <c r="F49" i="6"/>
  <c r="F47" i="6"/>
  <c r="G22" i="5"/>
  <c r="G23" i="5"/>
  <c r="H23" i="5"/>
  <c r="I23" i="5" s="1"/>
  <c r="H22" i="5"/>
  <c r="I22" i="5" s="1"/>
  <c r="F107" i="6"/>
  <c r="F106" i="6"/>
  <c r="F72" i="6"/>
  <c r="H428" i="6"/>
  <c r="G428" i="6"/>
  <c r="H427" i="6"/>
  <c r="G427" i="6"/>
  <c r="F426" i="6"/>
  <c r="E426" i="6"/>
  <c r="E425" i="6" s="1"/>
  <c r="D426" i="6"/>
  <c r="D425" i="6" s="1"/>
  <c r="H424" i="6"/>
  <c r="G424" i="6"/>
  <c r="H423" i="6"/>
  <c r="F422" i="6"/>
  <c r="G422" i="6" s="1"/>
  <c r="E422" i="6"/>
  <c r="H421" i="6"/>
  <c r="F420" i="6"/>
  <c r="G420" i="6" s="1"/>
  <c r="E420" i="6"/>
  <c r="H419" i="6"/>
  <c r="F418" i="6"/>
  <c r="G418" i="6" s="1"/>
  <c r="E418" i="6"/>
  <c r="H417" i="6"/>
  <c r="F416" i="6"/>
  <c r="E416" i="6"/>
  <c r="D416" i="6"/>
  <c r="H414" i="6"/>
  <c r="G414" i="6"/>
  <c r="H413" i="6"/>
  <c r="H412" i="6"/>
  <c r="F411" i="6"/>
  <c r="E411" i="6"/>
  <c r="H410" i="6"/>
  <c r="F409" i="6"/>
  <c r="G409" i="6" s="1"/>
  <c r="E409" i="6"/>
  <c r="H408" i="6"/>
  <c r="H407" i="6"/>
  <c r="F406" i="6"/>
  <c r="E406" i="6"/>
  <c r="D405" i="6"/>
  <c r="D404" i="6" s="1"/>
  <c r="D403" i="6" s="1"/>
  <c r="D402" i="6" s="1"/>
  <c r="D433" i="6"/>
  <c r="E433" i="6"/>
  <c r="F433" i="6"/>
  <c r="G434" i="6"/>
  <c r="H434" i="6"/>
  <c r="G435" i="6"/>
  <c r="H435" i="6"/>
  <c r="H27" i="5" l="1"/>
  <c r="I27" i="5" s="1"/>
  <c r="I28" i="5"/>
  <c r="E246" i="5"/>
  <c r="E8" i="5"/>
  <c r="E496" i="5"/>
  <c r="H422" i="6"/>
  <c r="D82" i="4"/>
  <c r="D57" i="4" s="1"/>
  <c r="D248" i="4" s="1"/>
  <c r="B10" i="8" s="1"/>
  <c r="H398" i="6"/>
  <c r="F397" i="6"/>
  <c r="F396" i="6" s="1"/>
  <c r="H399" i="6"/>
  <c r="H420" i="6"/>
  <c r="H397" i="6"/>
  <c r="H416" i="6"/>
  <c r="E405" i="6"/>
  <c r="H411" i="6"/>
  <c r="G411" i="6"/>
  <c r="G416" i="6"/>
  <c r="J27" i="5"/>
  <c r="H409" i="6"/>
  <c r="G38" i="5"/>
  <c r="G37" i="5" s="1"/>
  <c r="J28" i="5"/>
  <c r="H38" i="5"/>
  <c r="H433" i="6"/>
  <c r="G426" i="6"/>
  <c r="H426" i="6"/>
  <c r="E415" i="6"/>
  <c r="F405" i="6"/>
  <c r="H406" i="6"/>
  <c r="F415" i="6"/>
  <c r="H418" i="6"/>
  <c r="F425" i="6"/>
  <c r="G433" i="6"/>
  <c r="J252" i="5"/>
  <c r="J253" i="5"/>
  <c r="H488" i="5"/>
  <c r="H481" i="5"/>
  <c r="G481" i="5"/>
  <c r="F131" i="6"/>
  <c r="F112" i="6"/>
  <c r="F110" i="6"/>
  <c r="F100" i="6"/>
  <c r="F96" i="6"/>
  <c r="F91" i="6"/>
  <c r="I244" i="6"/>
  <c r="F78" i="6"/>
  <c r="F77" i="6"/>
  <c r="F76" i="6"/>
  <c r="F74" i="6"/>
  <c r="F60" i="6"/>
  <c r="F51" i="6"/>
  <c r="F42" i="6"/>
  <c r="F41" i="6"/>
  <c r="F39" i="6"/>
  <c r="F38" i="6" s="1"/>
  <c r="F36" i="6"/>
  <c r="F35" i="6"/>
  <c r="F12" i="6"/>
  <c r="H12" i="6" s="1"/>
  <c r="I216" i="6"/>
  <c r="I220" i="6"/>
  <c r="I224" i="6"/>
  <c r="I334" i="6"/>
  <c r="I333" i="6"/>
  <c r="I256" i="6"/>
  <c r="I229" i="6"/>
  <c r="I230" i="6"/>
  <c r="I246" i="6"/>
  <c r="I253" i="6"/>
  <c r="I252" i="6"/>
  <c r="I218" i="6"/>
  <c r="I212" i="6"/>
  <c r="I202" i="6"/>
  <c r="I386" i="6"/>
  <c r="I323" i="6"/>
  <c r="F194" i="6"/>
  <c r="F185" i="6"/>
  <c r="F183" i="6"/>
  <c r="F180" i="6"/>
  <c r="F208" i="4"/>
  <c r="G209" i="5"/>
  <c r="G208" i="5" s="1"/>
  <c r="H209" i="5"/>
  <c r="H208" i="5" s="1"/>
  <c r="H159" i="6"/>
  <c r="F158" i="6"/>
  <c r="E158" i="6"/>
  <c r="F136" i="6"/>
  <c r="F126" i="6"/>
  <c r="F118" i="6"/>
  <c r="F92" i="6"/>
  <c r="F85" i="6"/>
  <c r="F83" i="6"/>
  <c r="F82" i="6"/>
  <c r="F73" i="6"/>
  <c r="F69" i="6"/>
  <c r="F65" i="6"/>
  <c r="F64" i="6"/>
  <c r="F63" i="6"/>
  <c r="F62" i="6"/>
  <c r="F58" i="6"/>
  <c r="F37" i="6"/>
  <c r="F26" i="6"/>
  <c r="F25" i="6"/>
  <c r="F24" i="6"/>
  <c r="F22" i="6"/>
  <c r="F21" i="6"/>
  <c r="F16" i="6"/>
  <c r="H371" i="5"/>
  <c r="F648" i="6"/>
  <c r="F647" i="6" s="1"/>
  <c r="F645" i="6"/>
  <c r="F643" i="6"/>
  <c r="F639" i="6"/>
  <c r="F634" i="6"/>
  <c r="F630" i="6"/>
  <c r="F627" i="6"/>
  <c r="F621" i="6"/>
  <c r="I624" i="6"/>
  <c r="I622" i="6"/>
  <c r="H615" i="6"/>
  <c r="I640" i="6"/>
  <c r="I646" i="6"/>
  <c r="I632" i="6"/>
  <c r="I631" i="6"/>
  <c r="B13" i="8" l="1"/>
  <c r="B14" i="8"/>
  <c r="B15" i="8"/>
  <c r="H37" i="5"/>
  <c r="I37" i="5" s="1"/>
  <c r="I38" i="5"/>
  <c r="G14" i="3"/>
  <c r="G13" i="3" s="1"/>
  <c r="G16" i="3" s="1"/>
  <c r="G28" i="3" s="1"/>
  <c r="E404" i="6"/>
  <c r="E403" i="6" s="1"/>
  <c r="E402" i="6" s="1"/>
  <c r="F40" i="6"/>
  <c r="F34" i="6"/>
  <c r="H415" i="6"/>
  <c r="F404" i="6"/>
  <c r="F403" i="6" s="1"/>
  <c r="H403" i="6" s="1"/>
  <c r="G405" i="6"/>
  <c r="H405" i="6"/>
  <c r="G425" i="6"/>
  <c r="H425" i="6"/>
  <c r="J208" i="5"/>
  <c r="J209" i="5"/>
  <c r="F56" i="6"/>
  <c r="G209" i="4"/>
  <c r="G208" i="4" s="1"/>
  <c r="I335" i="6"/>
  <c r="H158" i="6"/>
  <c r="F638" i="6"/>
  <c r="F629" i="6"/>
  <c r="B12" i="8" l="1"/>
  <c r="B11" i="8" s="1"/>
  <c r="F402" i="6"/>
  <c r="G404" i="6"/>
  <c r="G403" i="6" s="1"/>
  <c r="H404" i="6"/>
  <c r="G393" i="5"/>
  <c r="H393" i="5"/>
  <c r="F393" i="5"/>
  <c r="G392" i="5"/>
  <c r="H392" i="5"/>
  <c r="F392" i="5"/>
  <c r="G357" i="5"/>
  <c r="H357" i="5"/>
  <c r="G373" i="5"/>
  <c r="H373" i="5"/>
  <c r="F373" i="5"/>
  <c r="G372" i="5"/>
  <c r="H372" i="5"/>
  <c r="F372" i="5"/>
  <c r="F410" i="5"/>
  <c r="H410" i="5"/>
  <c r="G410" i="5"/>
  <c r="G401" i="5"/>
  <c r="H401" i="5"/>
  <c r="F401" i="5"/>
  <c r="G395" i="5"/>
  <c r="H395" i="5"/>
  <c r="F395" i="5"/>
  <c r="G388" i="5"/>
  <c r="H388" i="5"/>
  <c r="F388" i="5"/>
  <c r="G377" i="5"/>
  <c r="H377" i="5"/>
  <c r="F377" i="5"/>
  <c r="G375" i="5"/>
  <c r="H375" i="5"/>
  <c r="F375" i="5"/>
  <c r="G381" i="5"/>
  <c r="H381" i="5"/>
  <c r="F381" i="5"/>
  <c r="G380" i="5"/>
  <c r="H380" i="5"/>
  <c r="F380" i="5"/>
  <c r="G405" i="5"/>
  <c r="H405" i="5"/>
  <c r="F405" i="5"/>
  <c r="G404" i="5"/>
  <c r="H404" i="5"/>
  <c r="F404" i="5"/>
  <c r="G305" i="5"/>
  <c r="H305" i="5"/>
  <c r="F305" i="5"/>
  <c r="G304" i="5"/>
  <c r="H304" i="5"/>
  <c r="F304" i="5"/>
  <c r="G156" i="5"/>
  <c r="H156" i="5"/>
  <c r="G157" i="5"/>
  <c r="H157" i="5"/>
  <c r="F157" i="5"/>
  <c r="F156" i="5"/>
  <c r="D100" i="6"/>
  <c r="H106" i="6"/>
  <c r="E658" i="6"/>
  <c r="E657" i="6" s="1"/>
  <c r="F658" i="6"/>
  <c r="F657" i="6" s="1"/>
  <c r="E645" i="6"/>
  <c r="D645" i="6"/>
  <c r="G623" i="6"/>
  <c r="H623" i="6"/>
  <c r="G624" i="6"/>
  <c r="H624" i="6"/>
  <c r="G626" i="6"/>
  <c r="H626" i="6"/>
  <c r="G628" i="6"/>
  <c r="H628" i="6"/>
  <c r="G631" i="6"/>
  <c r="H631" i="6"/>
  <c r="G632" i="6"/>
  <c r="H632" i="6"/>
  <c r="G633" i="6"/>
  <c r="H633" i="6"/>
  <c r="G635" i="6"/>
  <c r="H635" i="6"/>
  <c r="G636" i="6"/>
  <c r="H636" i="6"/>
  <c r="G637" i="6"/>
  <c r="H637" i="6"/>
  <c r="G640" i="6"/>
  <c r="H640" i="6"/>
  <c r="G641" i="6"/>
  <c r="H641" i="6"/>
  <c r="G642" i="6"/>
  <c r="H642" i="6"/>
  <c r="E627" i="6"/>
  <c r="D627" i="6"/>
  <c r="G627" i="6" s="1"/>
  <c r="E621" i="6"/>
  <c r="E338" i="6"/>
  <c r="D338" i="6"/>
  <c r="G649" i="6"/>
  <c r="H649" i="6"/>
  <c r="E648" i="6"/>
  <c r="E647" i="6" s="1"/>
  <c r="D648" i="6"/>
  <c r="D647" i="6" s="1"/>
  <c r="G647" i="6" s="1"/>
  <c r="E639" i="6"/>
  <c r="D639" i="6"/>
  <c r="G639" i="6" s="1"/>
  <c r="E630" i="6"/>
  <c r="H630" i="6" s="1"/>
  <c r="D630" i="6"/>
  <c r="F625" i="6"/>
  <c r="E625" i="6"/>
  <c r="D625" i="6"/>
  <c r="D621" i="6"/>
  <c r="G333" i="6"/>
  <c r="H333" i="6"/>
  <c r="G334" i="6"/>
  <c r="H334" i="6"/>
  <c r="E332" i="6"/>
  <c r="E331" i="6" s="1"/>
  <c r="F332" i="6"/>
  <c r="F331" i="6" s="1"/>
  <c r="D332" i="6"/>
  <c r="D331" i="6" s="1"/>
  <c r="E322" i="6"/>
  <c r="F322" i="6"/>
  <c r="D322" i="6"/>
  <c r="H325" i="6"/>
  <c r="H327" i="6"/>
  <c r="H329" i="6"/>
  <c r="G330" i="6"/>
  <c r="H330" i="6"/>
  <c r="H337" i="6"/>
  <c r="H339" i="6"/>
  <c r="G341" i="6"/>
  <c r="H341" i="6"/>
  <c r="H344" i="6"/>
  <c r="H323" i="6"/>
  <c r="E312" i="6"/>
  <c r="H252" i="6"/>
  <c r="H253" i="6"/>
  <c r="G252" i="6"/>
  <c r="G253" i="6"/>
  <c r="E251" i="6"/>
  <c r="E250" i="6" s="1"/>
  <c r="F251" i="6"/>
  <c r="F250" i="6" s="1"/>
  <c r="D251" i="6"/>
  <c r="D250" i="6" s="1"/>
  <c r="H107" i="6"/>
  <c r="G106" i="6"/>
  <c r="G107" i="6"/>
  <c r="D105" i="6"/>
  <c r="D104" i="6" s="1"/>
  <c r="F105" i="6"/>
  <c r="F104" i="6" s="1"/>
  <c r="E105" i="6"/>
  <c r="E104" i="6" s="1"/>
  <c r="G16" i="8"/>
  <c r="F461" i="5"/>
  <c r="E347" i="6"/>
  <c r="F347" i="6"/>
  <c r="D347" i="6"/>
  <c r="F382" i="5"/>
  <c r="G382" i="5"/>
  <c r="H382" i="5"/>
  <c r="G630" i="6"/>
  <c r="G622" i="6"/>
  <c r="G644" i="6"/>
  <c r="G652" i="6"/>
  <c r="F44" i="2"/>
  <c r="G44" i="2"/>
  <c r="E44" i="2"/>
  <c r="H42" i="1"/>
  <c r="F84" i="6"/>
  <c r="F81" i="6" s="1"/>
  <c r="F55" i="6"/>
  <c r="F31" i="6"/>
  <c r="F18" i="6"/>
  <c r="F177" i="6"/>
  <c r="F173" i="6"/>
  <c r="F172" i="6"/>
  <c r="F147" i="6"/>
  <c r="F139" i="6"/>
  <c r="F137" i="6"/>
  <c r="F134" i="6"/>
  <c r="F135" i="6"/>
  <c r="F124" i="6"/>
  <c r="F121" i="6"/>
  <c r="F120" i="6"/>
  <c r="F113" i="6"/>
  <c r="F99" i="6"/>
  <c r="F93" i="6"/>
  <c r="F67" i="6"/>
  <c r="F48" i="6"/>
  <c r="F46" i="6" s="1"/>
  <c r="F211" i="6"/>
  <c r="F156" i="4" l="1"/>
  <c r="G157" i="4"/>
  <c r="F157" i="4"/>
  <c r="G156" i="4"/>
  <c r="G155" i="4" s="1"/>
  <c r="H402" i="6"/>
  <c r="J392" i="5"/>
  <c r="E156" i="4"/>
  <c r="J381" i="5"/>
  <c r="I392" i="5"/>
  <c r="I404" i="5"/>
  <c r="F303" i="5"/>
  <c r="F302" i="5" s="1"/>
  <c r="I305" i="5"/>
  <c r="I381" i="5"/>
  <c r="I393" i="5"/>
  <c r="I380" i="5"/>
  <c r="E157" i="4"/>
  <c r="H403" i="5"/>
  <c r="H402" i="5" s="1"/>
  <c r="G391" i="5"/>
  <c r="E620" i="6"/>
  <c r="I382" i="5"/>
  <c r="I373" i="5"/>
  <c r="F391" i="5"/>
  <c r="G625" i="6"/>
  <c r="F620" i="6"/>
  <c r="F619" i="6" s="1"/>
  <c r="I405" i="5"/>
  <c r="I372" i="5"/>
  <c r="H370" i="5"/>
  <c r="J372" i="5"/>
  <c r="J393" i="5"/>
  <c r="H391" i="5"/>
  <c r="J382" i="5"/>
  <c r="J380" i="5"/>
  <c r="J373" i="5"/>
  <c r="F379" i="5"/>
  <c r="J405" i="5"/>
  <c r="J404" i="5"/>
  <c r="G379" i="5"/>
  <c r="I156" i="5"/>
  <c r="G303" i="5"/>
  <c r="G302" i="5" s="1"/>
  <c r="G403" i="5"/>
  <c r="G402" i="5" s="1"/>
  <c r="G155" i="5"/>
  <c r="G154" i="5" s="1"/>
  <c r="F403" i="5"/>
  <c r="J304" i="5"/>
  <c r="J305" i="5"/>
  <c r="F155" i="5"/>
  <c r="F154" i="5" s="1"/>
  <c r="J156" i="5"/>
  <c r="I304" i="5"/>
  <c r="H155" i="5"/>
  <c r="H154" i="5" s="1"/>
  <c r="H303" i="5"/>
  <c r="J157" i="5"/>
  <c r="I157" i="5"/>
  <c r="H627" i="6"/>
  <c r="H625" i="6"/>
  <c r="H639" i="6"/>
  <c r="H648" i="6"/>
  <c r="H647" i="6"/>
  <c r="G648" i="6"/>
  <c r="H322" i="6"/>
  <c r="H104" i="6"/>
  <c r="H331" i="6"/>
  <c r="G331" i="6"/>
  <c r="G332" i="6"/>
  <c r="H332" i="6"/>
  <c r="G250" i="6"/>
  <c r="G322" i="6"/>
  <c r="G251" i="6"/>
  <c r="H250" i="6"/>
  <c r="G104" i="6"/>
  <c r="H251" i="6"/>
  <c r="G105" i="6"/>
  <c r="H105" i="6"/>
  <c r="E76" i="2"/>
  <c r="F76" i="2"/>
  <c r="F75" i="2" s="1"/>
  <c r="G76" i="2"/>
  <c r="G75" i="2" s="1"/>
  <c r="G92" i="1"/>
  <c r="H92" i="1"/>
  <c r="F92" i="1"/>
  <c r="I93" i="1"/>
  <c r="J93" i="1"/>
  <c r="F357" i="5"/>
  <c r="G526" i="6"/>
  <c r="H526" i="6"/>
  <c r="G528" i="6"/>
  <c r="H528" i="6"/>
  <c r="G530" i="6"/>
  <c r="H530" i="6"/>
  <c r="F397" i="5"/>
  <c r="F385" i="5"/>
  <c r="F371" i="5"/>
  <c r="F370" i="5" s="1"/>
  <c r="G458" i="5"/>
  <c r="G457" i="5" s="1"/>
  <c r="G456" i="5" s="1"/>
  <c r="H458" i="5"/>
  <c r="H457" i="5" s="1"/>
  <c r="H456" i="5" s="1"/>
  <c r="F458" i="5"/>
  <c r="F457" i="5" s="1"/>
  <c r="F456" i="5" s="1"/>
  <c r="G455" i="5"/>
  <c r="G454" i="5" s="1"/>
  <c r="G453" i="5" s="1"/>
  <c r="H455" i="5"/>
  <c r="H454" i="5" s="1"/>
  <c r="H453" i="5" s="1"/>
  <c r="F455" i="5"/>
  <c r="F454" i="5" s="1"/>
  <c r="F453" i="5" s="1"/>
  <c r="G469" i="5"/>
  <c r="G468" i="5" s="1"/>
  <c r="G467" i="5" s="1"/>
  <c r="G466" i="5" s="1"/>
  <c r="H469" i="5"/>
  <c r="F469" i="5"/>
  <c r="F468" i="5" s="1"/>
  <c r="F467" i="5" s="1"/>
  <c r="F493" i="5"/>
  <c r="F492" i="5" s="1"/>
  <c r="F491" i="5" s="1"/>
  <c r="H652" i="6"/>
  <c r="D661" i="6"/>
  <c r="D660" i="6" s="1"/>
  <c r="E666" i="6"/>
  <c r="E665" i="6" s="1"/>
  <c r="E664" i="6" s="1"/>
  <c r="E663" i="6" s="1"/>
  <c r="F666" i="6"/>
  <c r="F665" i="6" s="1"/>
  <c r="F664" i="6" s="1"/>
  <c r="F663" i="6" s="1"/>
  <c r="G666" i="6"/>
  <c r="D666" i="6"/>
  <c r="D665" i="6" s="1"/>
  <c r="D664" i="6" s="1"/>
  <c r="D663" i="6" s="1"/>
  <c r="D658" i="6"/>
  <c r="H494" i="5"/>
  <c r="H493" i="5" s="1"/>
  <c r="H492" i="5" s="1"/>
  <c r="H491" i="5" s="1"/>
  <c r="G477" i="5"/>
  <c r="H478" i="5"/>
  <c r="H477" i="5" s="1"/>
  <c r="F477" i="5"/>
  <c r="F476" i="5" s="1"/>
  <c r="G474" i="5"/>
  <c r="G473" i="5" s="1"/>
  <c r="H475" i="5"/>
  <c r="F474" i="5"/>
  <c r="F473" i="5" s="1"/>
  <c r="H418" i="5"/>
  <c r="D614" i="6"/>
  <c r="D613" i="6" s="1"/>
  <c r="D617" i="6"/>
  <c r="D620" i="6"/>
  <c r="D634" i="6"/>
  <c r="G634" i="6" s="1"/>
  <c r="D643" i="6"/>
  <c r="D638" i="6" s="1"/>
  <c r="D446" i="6"/>
  <c r="E201" i="6"/>
  <c r="J402" i="5" l="1"/>
  <c r="F155" i="4"/>
  <c r="F154" i="4" s="1"/>
  <c r="E155" i="4"/>
  <c r="E154" i="4" s="1"/>
  <c r="G154" i="4"/>
  <c r="I403" i="5"/>
  <c r="I303" i="5"/>
  <c r="F378" i="5"/>
  <c r="I391" i="5"/>
  <c r="J391" i="5"/>
  <c r="J154" i="5"/>
  <c r="J403" i="5"/>
  <c r="F402" i="5"/>
  <c r="I402" i="5" s="1"/>
  <c r="J155" i="5"/>
  <c r="I155" i="5"/>
  <c r="H302" i="5"/>
  <c r="J303" i="5"/>
  <c r="I154" i="5"/>
  <c r="J458" i="5"/>
  <c r="D629" i="6"/>
  <c r="D619" i="6" s="1"/>
  <c r="J455" i="5"/>
  <c r="I388" i="5"/>
  <c r="J456" i="5"/>
  <c r="I455" i="5"/>
  <c r="I458" i="5"/>
  <c r="I469" i="5"/>
  <c r="J469" i="5"/>
  <c r="H468" i="5"/>
  <c r="F466" i="5"/>
  <c r="G665" i="6"/>
  <c r="G493" i="5"/>
  <c r="G492" i="5" s="1"/>
  <c r="G491" i="5" s="1"/>
  <c r="J491" i="5" s="1"/>
  <c r="J494" i="5"/>
  <c r="I494" i="5"/>
  <c r="I493" i="5"/>
  <c r="I491" i="5"/>
  <c r="I492" i="5"/>
  <c r="I478" i="5"/>
  <c r="J475" i="5"/>
  <c r="J478" i="5"/>
  <c r="H474" i="5"/>
  <c r="H473" i="5" s="1"/>
  <c r="I475" i="5"/>
  <c r="J23" i="5"/>
  <c r="G21" i="5"/>
  <c r="J39" i="5"/>
  <c r="J34" i="5"/>
  <c r="D612" i="6"/>
  <c r="J40" i="5"/>
  <c r="J38" i="5"/>
  <c r="H33" i="5"/>
  <c r="H21" i="5"/>
  <c r="I21" i="5" s="1"/>
  <c r="J22" i="5"/>
  <c r="F248" i="6"/>
  <c r="G384" i="5"/>
  <c r="G383" i="5" s="1"/>
  <c r="H384" i="5"/>
  <c r="H383" i="5" s="1"/>
  <c r="G386" i="5"/>
  <c r="G387" i="5"/>
  <c r="H387" i="5"/>
  <c r="I387" i="5" s="1"/>
  <c r="H386" i="5"/>
  <c r="I386" i="5" s="1"/>
  <c r="J411" i="5"/>
  <c r="G400" i="5"/>
  <c r="H400" i="5"/>
  <c r="G394" i="5"/>
  <c r="H394" i="5"/>
  <c r="G408" i="5"/>
  <c r="G407" i="5" s="1"/>
  <c r="H408" i="5"/>
  <c r="H407" i="5" s="1"/>
  <c r="H413" i="5"/>
  <c r="H412" i="5" s="1"/>
  <c r="G412" i="5"/>
  <c r="G409" i="5"/>
  <c r="G406" i="5" s="1"/>
  <c r="H398" i="5"/>
  <c r="J398" i="5" s="1"/>
  <c r="J33" i="5" l="1"/>
  <c r="I33" i="5"/>
  <c r="I394" i="5"/>
  <c r="J394" i="5"/>
  <c r="I456" i="5"/>
  <c r="J302" i="5"/>
  <c r="I302" i="5"/>
  <c r="G629" i="6"/>
  <c r="D611" i="6"/>
  <c r="D610" i="6" s="1"/>
  <c r="D609" i="6" s="1"/>
  <c r="H379" i="5"/>
  <c r="I457" i="5"/>
  <c r="J457" i="5"/>
  <c r="I468" i="5"/>
  <c r="J468" i="5"/>
  <c r="H467" i="5"/>
  <c r="J493" i="5"/>
  <c r="G663" i="6"/>
  <c r="G664" i="6"/>
  <c r="J492" i="5"/>
  <c r="J37" i="5"/>
  <c r="H409" i="5"/>
  <c r="H406" i="5" s="1"/>
  <c r="J406" i="5" s="1"/>
  <c r="J21" i="5"/>
  <c r="F61" i="6"/>
  <c r="J383" i="5"/>
  <c r="J386" i="5"/>
  <c r="J387" i="5"/>
  <c r="J384" i="5"/>
  <c r="J412" i="5"/>
  <c r="J407" i="5"/>
  <c r="H399" i="5"/>
  <c r="J413" i="5"/>
  <c r="J408" i="5"/>
  <c r="J400" i="5"/>
  <c r="J395" i="5"/>
  <c r="J467" i="5" l="1"/>
  <c r="H466" i="5"/>
  <c r="I467" i="5"/>
  <c r="J409" i="5"/>
  <c r="J410" i="5"/>
  <c r="J379" i="5"/>
  <c r="F328" i="6"/>
  <c r="F338" i="6"/>
  <c r="E328" i="6"/>
  <c r="E340" i="6"/>
  <c r="E336" i="6"/>
  <c r="F340" i="6"/>
  <c r="F336" i="6"/>
  <c r="E326" i="6"/>
  <c r="F326" i="6"/>
  <c r="E324" i="6"/>
  <c r="H313" i="6"/>
  <c r="H314" i="6"/>
  <c r="H316" i="6"/>
  <c r="H318" i="6"/>
  <c r="H319" i="6"/>
  <c r="H320" i="6"/>
  <c r="F324" i="6"/>
  <c r="F312" i="6"/>
  <c r="H312" i="6" s="1"/>
  <c r="F315" i="6"/>
  <c r="E315" i="6"/>
  <c r="F317" i="6"/>
  <c r="E317" i="6"/>
  <c r="G324" i="6" l="1"/>
  <c r="F321" i="6"/>
  <c r="E335" i="6"/>
  <c r="E321" i="6"/>
  <c r="H326" i="6"/>
  <c r="G326" i="6"/>
  <c r="G328" i="6"/>
  <c r="H328" i="6"/>
  <c r="G336" i="6"/>
  <c r="H336" i="6"/>
  <c r="H324" i="6"/>
  <c r="H340" i="6"/>
  <c r="G338" i="6"/>
  <c r="H338" i="6"/>
  <c r="J466" i="5"/>
  <c r="I466" i="5"/>
  <c r="F335" i="6"/>
  <c r="F311" i="6"/>
  <c r="H315" i="6"/>
  <c r="H317" i="6"/>
  <c r="E311" i="6"/>
  <c r="H662" i="6"/>
  <c r="E661" i="6"/>
  <c r="E660" i="6" s="1"/>
  <c r="E656" i="6" s="1"/>
  <c r="E655" i="6" s="1"/>
  <c r="E654" i="6" s="1"/>
  <c r="F661" i="6"/>
  <c r="F660" i="6" s="1"/>
  <c r="F656" i="6" s="1"/>
  <c r="F655" i="6" s="1"/>
  <c r="G16" i="6"/>
  <c r="F310" i="6" l="1"/>
  <c r="H321" i="6"/>
  <c r="E310" i="6"/>
  <c r="H335" i="6"/>
  <c r="G399" i="5"/>
  <c r="J399" i="5" s="1"/>
  <c r="J401" i="5"/>
  <c r="H311" i="6"/>
  <c r="G661" i="6"/>
  <c r="H661" i="6"/>
  <c r="G52" i="2" l="1"/>
  <c r="F52" i="2"/>
  <c r="G69" i="1"/>
  <c r="H69" i="1"/>
  <c r="G16" i="2"/>
  <c r="F16" i="2"/>
  <c r="J19" i="1"/>
  <c r="H18" i="1"/>
  <c r="H17" i="1" s="1"/>
  <c r="G18" i="1"/>
  <c r="F60" i="2"/>
  <c r="F59" i="2" s="1"/>
  <c r="F62" i="2"/>
  <c r="F61" i="2" s="1"/>
  <c r="F65" i="2"/>
  <c r="F64" i="2" s="1"/>
  <c r="F63" i="2" s="1"/>
  <c r="F69" i="2"/>
  <c r="F68" i="2" s="1"/>
  <c r="F67" i="2" s="1"/>
  <c r="F66" i="2" s="1"/>
  <c r="F72" i="2"/>
  <c r="F74" i="2"/>
  <c r="F71" i="2" s="1"/>
  <c r="F49" i="2"/>
  <c r="F51" i="2"/>
  <c r="F55" i="2"/>
  <c r="F54" i="2" s="1"/>
  <c r="F56" i="2"/>
  <c r="F43" i="2"/>
  <c r="F45" i="2"/>
  <c r="F46" i="2"/>
  <c r="F24" i="2"/>
  <c r="F29" i="2"/>
  <c r="F28" i="2" s="1"/>
  <c r="G26" i="2"/>
  <c r="G25" i="2" s="1"/>
  <c r="F26" i="2"/>
  <c r="F25" i="2" s="1"/>
  <c r="H28" i="1"/>
  <c r="H26" i="1"/>
  <c r="G28" i="1"/>
  <c r="F28" i="1"/>
  <c r="H11" i="1"/>
  <c r="H13" i="1"/>
  <c r="H25" i="5"/>
  <c r="I25" i="5" s="1"/>
  <c r="G25" i="5"/>
  <c r="F614" i="6"/>
  <c r="F613" i="6" s="1"/>
  <c r="E614" i="6"/>
  <c r="G397" i="5"/>
  <c r="G396" i="5" s="1"/>
  <c r="G390" i="5" s="1"/>
  <c r="H416" i="5"/>
  <c r="H415" i="5" s="1"/>
  <c r="H414" i="5" s="1"/>
  <c r="G418" i="5"/>
  <c r="G416" i="5" s="1"/>
  <c r="G415" i="5" s="1"/>
  <c r="G371" i="5"/>
  <c r="G370" i="5" s="1"/>
  <c r="H667" i="6"/>
  <c r="H622" i="6"/>
  <c r="H644" i="6"/>
  <c r="F50" i="2" l="1"/>
  <c r="J388" i="5"/>
  <c r="H385" i="5"/>
  <c r="H378" i="5" s="1"/>
  <c r="G385" i="5"/>
  <c r="G378" i="5" s="1"/>
  <c r="H24" i="5"/>
  <c r="G24" i="5"/>
  <c r="G20" i="5" s="1"/>
  <c r="J25" i="5"/>
  <c r="H666" i="6"/>
  <c r="F42" i="2"/>
  <c r="F41" i="2" s="1"/>
  <c r="F40" i="2" s="1"/>
  <c r="F58" i="2"/>
  <c r="F57" i="2" s="1"/>
  <c r="F53" i="2"/>
  <c r="F70" i="2"/>
  <c r="I12" i="3" s="1"/>
  <c r="F48" i="2"/>
  <c r="H25" i="1"/>
  <c r="H10" i="1"/>
  <c r="H9" i="1" s="1"/>
  <c r="H20" i="5" l="1"/>
  <c r="I20" i="5" s="1"/>
  <c r="I24" i="5"/>
  <c r="J385" i="5"/>
  <c r="F654" i="6"/>
  <c r="F653" i="6" s="1"/>
  <c r="J20" i="5"/>
  <c r="J24" i="5"/>
  <c r="F47" i="2"/>
  <c r="E634" i="6"/>
  <c r="E617" i="6"/>
  <c r="E613" i="6"/>
  <c r="G621" i="6"/>
  <c r="E643" i="6"/>
  <c r="E638" i="6" s="1"/>
  <c r="E447" i="6"/>
  <c r="E446" i="6" s="1"/>
  <c r="F447" i="6"/>
  <c r="H448" i="6"/>
  <c r="G446" i="6"/>
  <c r="E629" i="6" l="1"/>
  <c r="H629" i="6" s="1"/>
  <c r="H634" i="6"/>
  <c r="G643" i="6"/>
  <c r="H643" i="6"/>
  <c r="E612" i="6"/>
  <c r="H621" i="6"/>
  <c r="H480" i="5"/>
  <c r="H479" i="5" s="1"/>
  <c r="D385" i="6"/>
  <c r="D384" i="6" s="1"/>
  <c r="E385" i="6"/>
  <c r="E384" i="6" s="1"/>
  <c r="F385" i="6"/>
  <c r="D16" i="8"/>
  <c r="E619" i="6" l="1"/>
  <c r="E611" i="6" s="1"/>
  <c r="E610" i="6" s="1"/>
  <c r="E609" i="6" s="1"/>
  <c r="G638" i="6"/>
  <c r="H638" i="6"/>
  <c r="F384" i="6"/>
  <c r="G385" i="6"/>
  <c r="H385" i="6"/>
  <c r="J12" i="1"/>
  <c r="J14" i="1"/>
  <c r="J20" i="1"/>
  <c r="J21" i="1"/>
  <c r="J24" i="1"/>
  <c r="J27" i="1"/>
  <c r="J32" i="1"/>
  <c r="J33" i="1"/>
  <c r="J35" i="1"/>
  <c r="J39" i="1"/>
  <c r="J43" i="1"/>
  <c r="J48" i="1"/>
  <c r="J49" i="1"/>
  <c r="J52" i="1"/>
  <c r="J61" i="1"/>
  <c r="J63" i="1"/>
  <c r="J64" i="1"/>
  <c r="J65" i="1"/>
  <c r="J68" i="1"/>
  <c r="J70" i="1"/>
  <c r="J74" i="1"/>
  <c r="J79" i="1"/>
  <c r="J80" i="1"/>
  <c r="J85" i="1"/>
  <c r="J90" i="1"/>
  <c r="J92" i="1"/>
  <c r="G74" i="2"/>
  <c r="E75" i="2"/>
  <c r="E73" i="2"/>
  <c r="F17" i="2"/>
  <c r="F15" i="2" s="1"/>
  <c r="G17" i="2"/>
  <c r="G15" i="2" s="1"/>
  <c r="F18" i="2"/>
  <c r="G18" i="2"/>
  <c r="F30" i="2"/>
  <c r="F27" i="2" s="1"/>
  <c r="G30" i="2"/>
  <c r="F32" i="2"/>
  <c r="F31" i="2" s="1"/>
  <c r="G32" i="2"/>
  <c r="G31" i="2" s="1"/>
  <c r="F38" i="2"/>
  <c r="G38" i="2"/>
  <c r="F39" i="2"/>
  <c r="G39" i="2"/>
  <c r="G56" i="2"/>
  <c r="E56" i="2"/>
  <c r="E38" i="2"/>
  <c r="E39" i="2"/>
  <c r="E32" i="2"/>
  <c r="E30" i="2"/>
  <c r="E18" i="2"/>
  <c r="F12" i="2"/>
  <c r="F21" i="2"/>
  <c r="F20" i="2" s="1"/>
  <c r="F19" i="2" s="1"/>
  <c r="F23" i="2"/>
  <c r="F22" i="2" s="1"/>
  <c r="F35" i="2"/>
  <c r="F34" i="2" s="1"/>
  <c r="F37" i="2"/>
  <c r="F36" i="2" s="1"/>
  <c r="G91" i="1"/>
  <c r="G89" i="1"/>
  <c r="G84" i="1"/>
  <c r="G83" i="1" s="1"/>
  <c r="G82" i="1" s="1"/>
  <c r="G86" i="1" s="1"/>
  <c r="G73" i="1"/>
  <c r="G72" i="1" s="1"/>
  <c r="G78" i="1"/>
  <c r="G77" i="1" s="1"/>
  <c r="G76" i="1" s="1"/>
  <c r="G81" i="1" s="1"/>
  <c r="E17" i="11" s="1"/>
  <c r="G67" i="1"/>
  <c r="G66" i="1" s="1"/>
  <c r="G62" i="1"/>
  <c r="G60" i="1"/>
  <c r="G59" i="1" s="1"/>
  <c r="G58" i="1" s="1"/>
  <c r="G55" i="1"/>
  <c r="G54" i="1" s="1"/>
  <c r="G53" i="1" s="1"/>
  <c r="E13" i="11" s="1"/>
  <c r="G47" i="1"/>
  <c r="G51" i="1"/>
  <c r="G50" i="1" s="1"/>
  <c r="G38" i="1"/>
  <c r="G37" i="1" s="1"/>
  <c r="G42" i="1"/>
  <c r="G41" i="1" s="1"/>
  <c r="G40" i="1" s="1"/>
  <c r="E12" i="11" s="1"/>
  <c r="G34" i="1"/>
  <c r="G31" i="1"/>
  <c r="G30" i="1" s="1"/>
  <c r="G26" i="1"/>
  <c r="G25" i="1" s="1"/>
  <c r="G17" i="1"/>
  <c r="G23" i="1"/>
  <c r="G22" i="1" s="1"/>
  <c r="G13" i="1"/>
  <c r="J13" i="1" s="1"/>
  <c r="G11" i="1"/>
  <c r="J10" i="5"/>
  <c r="J64" i="5"/>
  <c r="J191" i="5"/>
  <c r="J192" i="5"/>
  <c r="J200" i="5"/>
  <c r="J202" i="5"/>
  <c r="J203" i="5"/>
  <c r="J206" i="5"/>
  <c r="J215" i="5"/>
  <c r="J217" i="5"/>
  <c r="J224" i="5"/>
  <c r="J239" i="5"/>
  <c r="J245" i="5"/>
  <c r="J270" i="5"/>
  <c r="J285" i="5"/>
  <c r="J287" i="5"/>
  <c r="J292" i="5"/>
  <c r="J293" i="5"/>
  <c r="J294" i="5"/>
  <c r="J299" i="5"/>
  <c r="J307" i="5"/>
  <c r="J312" i="5"/>
  <c r="J313" i="5"/>
  <c r="J314" i="5"/>
  <c r="J315" i="5"/>
  <c r="J318" i="5"/>
  <c r="J319" i="5"/>
  <c r="J320" i="5"/>
  <c r="J321" i="5"/>
  <c r="J324" i="5"/>
  <c r="J327" i="5"/>
  <c r="J329" i="5"/>
  <c r="J330" i="5"/>
  <c r="J334" i="5"/>
  <c r="J337" i="5"/>
  <c r="J341" i="5"/>
  <c r="J344" i="5"/>
  <c r="J345" i="5"/>
  <c r="J349" i="5"/>
  <c r="J351" i="5"/>
  <c r="J358" i="5"/>
  <c r="J389" i="5"/>
  <c r="J417" i="5"/>
  <c r="J424" i="5"/>
  <c r="J425" i="5"/>
  <c r="J427" i="5"/>
  <c r="J429" i="5"/>
  <c r="J430" i="5"/>
  <c r="J433" i="5"/>
  <c r="J434" i="5"/>
  <c r="J435" i="5"/>
  <c r="J437" i="5"/>
  <c r="J439" i="5"/>
  <c r="J440" i="5"/>
  <c r="J444" i="5"/>
  <c r="J452" i="5"/>
  <c r="J454" i="5"/>
  <c r="J462" i="5"/>
  <c r="J463" i="5"/>
  <c r="J464" i="5"/>
  <c r="J465" i="5"/>
  <c r="J474" i="5"/>
  <c r="J477" i="5"/>
  <c r="J481" i="5"/>
  <c r="J485" i="5"/>
  <c r="J490" i="5"/>
  <c r="F191" i="4"/>
  <c r="F190" i="4" s="1"/>
  <c r="F200" i="4"/>
  <c r="F214" i="4"/>
  <c r="F216" i="4"/>
  <c r="F219" i="4"/>
  <c r="F240" i="4"/>
  <c r="F246" i="4"/>
  <c r="G62" i="5"/>
  <c r="G15" i="5"/>
  <c r="G14" i="5" s="1"/>
  <c r="G13" i="5" s="1"/>
  <c r="G18" i="5"/>
  <c r="G17" i="5" s="1"/>
  <c r="G16" i="5" s="1"/>
  <c r="G30" i="5"/>
  <c r="G31" i="5"/>
  <c r="G32" i="5"/>
  <c r="G36" i="5"/>
  <c r="G35" i="5" s="1"/>
  <c r="G45" i="5"/>
  <c r="G46" i="5"/>
  <c r="G48" i="5"/>
  <c r="G50" i="5"/>
  <c r="G52" i="5"/>
  <c r="G56" i="5"/>
  <c r="G63" i="5"/>
  <c r="F62" i="4" s="1"/>
  <c r="G66" i="5"/>
  <c r="G65" i="5" s="1"/>
  <c r="G68" i="5"/>
  <c r="G71" i="5"/>
  <c r="G72" i="5"/>
  <c r="F71" i="4" s="1"/>
  <c r="G73" i="5"/>
  <c r="F72" i="4" s="1"/>
  <c r="G74" i="5"/>
  <c r="F73" i="4" s="1"/>
  <c r="G75" i="5"/>
  <c r="G79" i="5"/>
  <c r="G78" i="5" s="1"/>
  <c r="G81" i="5"/>
  <c r="G80" i="5" s="1"/>
  <c r="G85" i="5"/>
  <c r="G86" i="5"/>
  <c r="F86" i="4" s="1"/>
  <c r="G89" i="5"/>
  <c r="G91" i="5"/>
  <c r="F91" i="4" s="1"/>
  <c r="G94" i="5"/>
  <c r="G93" i="5" s="1"/>
  <c r="G97" i="5"/>
  <c r="G98" i="5"/>
  <c r="F98" i="4" s="1"/>
  <c r="G99" i="5"/>
  <c r="F99" i="4" s="1"/>
  <c r="G100" i="5"/>
  <c r="F100" i="4" s="1"/>
  <c r="G103" i="5"/>
  <c r="G104" i="5"/>
  <c r="G107" i="5"/>
  <c r="G108" i="5"/>
  <c r="F108" i="4" s="1"/>
  <c r="G109" i="5"/>
  <c r="G112" i="5"/>
  <c r="G113" i="5"/>
  <c r="F113" i="4" s="1"/>
  <c r="G114" i="5"/>
  <c r="F114" i="4" s="1"/>
  <c r="G117" i="5"/>
  <c r="G119" i="5"/>
  <c r="G118" i="5" s="1"/>
  <c r="G122" i="5"/>
  <c r="F122" i="4" s="1"/>
  <c r="G124" i="5"/>
  <c r="F124" i="4" s="1"/>
  <c r="G126" i="5"/>
  <c r="G127" i="5"/>
  <c r="G130" i="5"/>
  <c r="G132" i="5"/>
  <c r="F132" i="4" s="1"/>
  <c r="G133" i="5"/>
  <c r="F133" i="4" s="1"/>
  <c r="G134" i="5"/>
  <c r="F134" i="4" s="1"/>
  <c r="G137" i="5"/>
  <c r="G139" i="5"/>
  <c r="G141" i="5"/>
  <c r="G142" i="5"/>
  <c r="F142" i="4" s="1"/>
  <c r="G143" i="5"/>
  <c r="F143" i="4" s="1"/>
  <c r="G146" i="5"/>
  <c r="G145" i="5" s="1"/>
  <c r="G148" i="5"/>
  <c r="F148" i="4" s="1"/>
  <c r="G149" i="5"/>
  <c r="F149" i="4" s="1"/>
  <c r="G153" i="5"/>
  <c r="G160" i="5"/>
  <c r="G162" i="5"/>
  <c r="G163" i="5"/>
  <c r="F163" i="4" s="1"/>
  <c r="G166" i="5"/>
  <c r="G168" i="5"/>
  <c r="G170" i="5"/>
  <c r="F170" i="4" s="1"/>
  <c r="G171" i="5"/>
  <c r="F171" i="4" s="1"/>
  <c r="G174" i="5"/>
  <c r="G176" i="5"/>
  <c r="F176" i="4" s="1"/>
  <c r="G177" i="5"/>
  <c r="F177" i="4" s="1"/>
  <c r="G181" i="5"/>
  <c r="G180" i="5" s="1"/>
  <c r="G183" i="5"/>
  <c r="G184" i="5"/>
  <c r="F185" i="4" s="1"/>
  <c r="G185" i="5"/>
  <c r="F186" i="4" s="1"/>
  <c r="G188" i="5"/>
  <c r="F189" i="4" s="1"/>
  <c r="F188" i="4" s="1"/>
  <c r="G190" i="5"/>
  <c r="G189" i="5" s="1"/>
  <c r="G196" i="5"/>
  <c r="G197" i="5"/>
  <c r="F198" i="4" s="1"/>
  <c r="G199" i="5"/>
  <c r="G205" i="5"/>
  <c r="G204" i="5" s="1"/>
  <c r="G201" i="5" s="1"/>
  <c r="G211" i="5"/>
  <c r="G210" i="5" s="1"/>
  <c r="G207" i="5" s="1"/>
  <c r="G214" i="5"/>
  <c r="G216" i="5"/>
  <c r="G213" i="5" s="1"/>
  <c r="G221" i="5"/>
  <c r="G222" i="5"/>
  <c r="G223" i="5"/>
  <c r="F225" i="4" s="1"/>
  <c r="G226" i="5"/>
  <c r="G227" i="5"/>
  <c r="F229" i="4" s="1"/>
  <c r="G229" i="5"/>
  <c r="G230" i="5"/>
  <c r="F232" i="4" s="1"/>
  <c r="G232" i="5"/>
  <c r="G231" i="5" s="1"/>
  <c r="G234" i="5"/>
  <c r="G237" i="5"/>
  <c r="G238" i="5"/>
  <c r="G243" i="5"/>
  <c r="G242" i="5" s="1"/>
  <c r="G241" i="5" s="1"/>
  <c r="G244" i="5"/>
  <c r="G251" i="5"/>
  <c r="G250" i="5" s="1"/>
  <c r="G255" i="5"/>
  <c r="G254" i="5" s="1"/>
  <c r="G258" i="5"/>
  <c r="G257" i="5" s="1"/>
  <c r="G256" i="5" s="1"/>
  <c r="G261" i="5"/>
  <c r="G260" i="5" s="1"/>
  <c r="G259" i="5" s="1"/>
  <c r="G265" i="5"/>
  <c r="G264" i="5" s="1"/>
  <c r="G267" i="5"/>
  <c r="G266" i="5" s="1"/>
  <c r="G269" i="5"/>
  <c r="G268" i="5" s="1"/>
  <c r="G273" i="5"/>
  <c r="G275" i="5"/>
  <c r="G278" i="5"/>
  <c r="G281" i="5"/>
  <c r="G280" i="5" s="1"/>
  <c r="G283" i="5"/>
  <c r="G282" i="5" s="1"/>
  <c r="G284" i="5"/>
  <c r="G289" i="5"/>
  <c r="G290" i="5"/>
  <c r="G296" i="5"/>
  <c r="G298" i="5"/>
  <c r="G297" i="5" s="1"/>
  <c r="G301" i="5"/>
  <c r="G309" i="5"/>
  <c r="G308" i="5" s="1"/>
  <c r="G311" i="5"/>
  <c r="G310" i="5" s="1"/>
  <c r="G317" i="5"/>
  <c r="G316" i="5" s="1"/>
  <c r="G323" i="5"/>
  <c r="G322" i="5" s="1"/>
  <c r="G326" i="5"/>
  <c r="G328" i="5"/>
  <c r="G333" i="5"/>
  <c r="G332" i="5" s="1"/>
  <c r="G336" i="5"/>
  <c r="G340" i="5"/>
  <c r="G339" i="5" s="1"/>
  <c r="G343" i="5"/>
  <c r="G342" i="5" s="1"/>
  <c r="G347" i="5"/>
  <c r="G346" i="5" s="1"/>
  <c r="G348" i="5"/>
  <c r="G350" i="5"/>
  <c r="G356" i="5"/>
  <c r="G360" i="5"/>
  <c r="G359" i="5" s="1"/>
  <c r="G363" i="5"/>
  <c r="G364" i="5"/>
  <c r="G367" i="5"/>
  <c r="G366" i="5" s="1"/>
  <c r="G365" i="5" s="1"/>
  <c r="G376" i="5"/>
  <c r="G414" i="5"/>
  <c r="G423" i="5"/>
  <c r="G426" i="5"/>
  <c r="G428" i="5"/>
  <c r="G432" i="5"/>
  <c r="G436" i="5"/>
  <c r="G438" i="5"/>
  <c r="G443" i="5"/>
  <c r="G442" i="5" s="1"/>
  <c r="G441" i="5" s="1"/>
  <c r="G450" i="5"/>
  <c r="G451" i="5"/>
  <c r="G461" i="5"/>
  <c r="G460" i="5" s="1"/>
  <c r="G459" i="5" s="1"/>
  <c r="G476" i="5"/>
  <c r="G479" i="5"/>
  <c r="G484" i="5"/>
  <c r="G488" i="5"/>
  <c r="G487" i="5" s="1"/>
  <c r="G486" i="5" s="1"/>
  <c r="G489" i="5"/>
  <c r="F139" i="4" l="1"/>
  <c r="E16" i="11"/>
  <c r="G29" i="5"/>
  <c r="G26" i="5" s="1"/>
  <c r="G19" i="5" s="1"/>
  <c r="F162" i="4"/>
  <c r="F141" i="4"/>
  <c r="F97" i="4"/>
  <c r="F245" i="4"/>
  <c r="F244" i="4" s="1"/>
  <c r="F243" i="4" s="1"/>
  <c r="F242" i="4" s="1"/>
  <c r="F224" i="4"/>
  <c r="F127" i="4"/>
  <c r="F223" i="4"/>
  <c r="G116" i="5"/>
  <c r="F117" i="4"/>
  <c r="F116" i="4" s="1"/>
  <c r="G236" i="5"/>
  <c r="G235" i="5" s="1"/>
  <c r="F239" i="4"/>
  <c r="F238" i="4" s="1"/>
  <c r="F237" i="4" s="1"/>
  <c r="F175" i="4"/>
  <c r="G167" i="5"/>
  <c r="F168" i="4"/>
  <c r="F167" i="4" s="1"/>
  <c r="G159" i="5"/>
  <c r="F160" i="4"/>
  <c r="F159" i="4" s="1"/>
  <c r="G138" i="5"/>
  <c r="F138" i="4"/>
  <c r="G51" i="5"/>
  <c r="F234" i="4"/>
  <c r="F233" i="4" s="1"/>
  <c r="F126" i="4"/>
  <c r="G233" i="5"/>
  <c r="F236" i="4"/>
  <c r="F235" i="4" s="1"/>
  <c r="G173" i="5"/>
  <c r="F174" i="4"/>
  <c r="F173" i="4" s="1"/>
  <c r="G165" i="5"/>
  <c r="F166" i="4"/>
  <c r="F165" i="4" s="1"/>
  <c r="G152" i="5"/>
  <c r="G151" i="5" s="1"/>
  <c r="F153" i="4"/>
  <c r="G136" i="5"/>
  <c r="F137" i="4"/>
  <c r="F136" i="4" s="1"/>
  <c r="G129" i="5"/>
  <c r="F130" i="4"/>
  <c r="F129" i="4" s="1"/>
  <c r="F231" i="4"/>
  <c r="F230" i="4" s="1"/>
  <c r="F146" i="4"/>
  <c r="F145" i="4" s="1"/>
  <c r="F112" i="4"/>
  <c r="G88" i="5"/>
  <c r="F89" i="4"/>
  <c r="F88" i="4" s="1"/>
  <c r="G47" i="5"/>
  <c r="F228" i="4"/>
  <c r="F227" i="4" s="1"/>
  <c r="F213" i="4"/>
  <c r="F14" i="2"/>
  <c r="G55" i="5"/>
  <c r="G54" i="5" s="1"/>
  <c r="G53" i="5" s="1"/>
  <c r="G10" i="1"/>
  <c r="G9" i="1" s="1"/>
  <c r="G15" i="1" s="1"/>
  <c r="E7" i="11" s="1"/>
  <c r="E6" i="11" s="1"/>
  <c r="G472" i="5"/>
  <c r="G471" i="5" s="1"/>
  <c r="F103" i="4"/>
  <c r="G295" i="5"/>
  <c r="G272" i="5"/>
  <c r="G300" i="5"/>
  <c r="G483" i="5"/>
  <c r="G482" i="5" s="1"/>
  <c r="G14" i="2"/>
  <c r="J11" i="1"/>
  <c r="G88" i="1"/>
  <c r="G87" i="1" s="1"/>
  <c r="G94" i="1" s="1"/>
  <c r="E19" i="11" s="1"/>
  <c r="E18" i="11" s="1"/>
  <c r="F33" i="2"/>
  <c r="G49" i="5"/>
  <c r="G240" i="5"/>
  <c r="F65" i="4"/>
  <c r="F64" i="4" s="1"/>
  <c r="G422" i="5"/>
  <c r="G431" i="5"/>
  <c r="G325" i="5"/>
  <c r="G44" i="5"/>
  <c r="F74" i="4"/>
  <c r="G362" i="5"/>
  <c r="G361" i="5" s="1"/>
  <c r="F206" i="4"/>
  <c r="F205" i="4" s="1"/>
  <c r="F202" i="4" s="1"/>
  <c r="F67" i="4"/>
  <c r="F66" i="4" s="1"/>
  <c r="F109" i="4"/>
  <c r="G67" i="5"/>
  <c r="F81" i="4"/>
  <c r="F80" i="4" s="1"/>
  <c r="G225" i="5"/>
  <c r="G77" i="5"/>
  <c r="G187" i="5"/>
  <c r="G175" i="5"/>
  <c r="F184" i="4"/>
  <c r="F79" i="4"/>
  <c r="F78" i="4" s="1"/>
  <c r="F61" i="4"/>
  <c r="F60" i="4" s="1"/>
  <c r="G228" i="5"/>
  <c r="G195" i="5"/>
  <c r="G194" i="5" s="1"/>
  <c r="G193" i="5" s="1"/>
  <c r="J196" i="5"/>
  <c r="F85" i="4"/>
  <c r="F211" i="4"/>
  <c r="F210" i="4" s="1"/>
  <c r="F207" i="4" s="1"/>
  <c r="F181" i="4"/>
  <c r="F180" i="4" s="1"/>
  <c r="F94" i="4"/>
  <c r="F93" i="4" s="1"/>
  <c r="F70" i="4"/>
  <c r="G449" i="5"/>
  <c r="G448" i="5" s="1"/>
  <c r="G220" i="5"/>
  <c r="G61" i="5"/>
  <c r="F197" i="4"/>
  <c r="F196" i="4" s="1"/>
  <c r="F195" i="4" s="1"/>
  <c r="F194" i="4" s="1"/>
  <c r="E43" i="11" s="1"/>
  <c r="F119" i="4"/>
  <c r="F118" i="4" s="1"/>
  <c r="F107" i="4"/>
  <c r="F11" i="2"/>
  <c r="G75" i="1"/>
  <c r="E9" i="11" s="1"/>
  <c r="G46" i="1"/>
  <c r="E11" i="11" s="1"/>
  <c r="E10" i="11" s="1"/>
  <c r="G16" i="1"/>
  <c r="G249" i="5"/>
  <c r="G248" i="5" s="1"/>
  <c r="G338" i="5"/>
  <c r="G335" i="5" s="1"/>
  <c r="G331" i="5" s="1"/>
  <c r="G306" i="5"/>
  <c r="G355" i="5"/>
  <c r="G263" i="5"/>
  <c r="G198" i="5"/>
  <c r="G12" i="5"/>
  <c r="G374" i="5"/>
  <c r="G369" i="5" s="1"/>
  <c r="G368" i="5" s="1"/>
  <c r="E8" i="11" l="1"/>
  <c r="E5" i="11"/>
  <c r="G447" i="5"/>
  <c r="G446" i="5" s="1"/>
  <c r="G470" i="5" s="1"/>
  <c r="G11" i="5"/>
  <c r="G495" i="5"/>
  <c r="F151" i="4"/>
  <c r="F152" i="4"/>
  <c r="F76" i="4"/>
  <c r="G354" i="5"/>
  <c r="G43" i="5"/>
  <c r="G42" i="5" s="1"/>
  <c r="G41" i="5" s="1"/>
  <c r="G57" i="1"/>
  <c r="G36" i="1"/>
  <c r="E15" i="11" s="1"/>
  <c r="E14" i="11" s="1"/>
  <c r="E20" i="11" s="1"/>
  <c r="G421" i="5"/>
  <c r="G445" i="5" s="1"/>
  <c r="G219" i="5"/>
  <c r="G218" i="5" s="1"/>
  <c r="G212" i="5" s="1"/>
  <c r="F222" i="4"/>
  <c r="F221" i="4" s="1"/>
  <c r="F218" i="4" s="1"/>
  <c r="F212" i="4" s="1"/>
  <c r="E45" i="11" s="1"/>
  <c r="F199" i="4"/>
  <c r="E44" i="11" s="1"/>
  <c r="F59" i="4"/>
  <c r="G60" i="5"/>
  <c r="F10" i="2"/>
  <c r="F77" i="2" s="1"/>
  <c r="G353" i="5" l="1"/>
  <c r="G420" i="5" s="1"/>
  <c r="G9" i="5"/>
  <c r="G8" i="1"/>
  <c r="G95" i="1" s="1"/>
  <c r="G57" i="5"/>
  <c r="I15" i="3"/>
  <c r="I11" i="3"/>
  <c r="I10" i="3" l="1"/>
  <c r="H366" i="6"/>
  <c r="H367" i="6"/>
  <c r="H369" i="6"/>
  <c r="H373" i="6"/>
  <c r="H374" i="6"/>
  <c r="H375" i="6"/>
  <c r="H380" i="6"/>
  <c r="H381" i="6"/>
  <c r="H383" i="6"/>
  <c r="H386" i="6"/>
  <c r="H390" i="6"/>
  <c r="H392" i="6"/>
  <c r="H393" i="6"/>
  <c r="H395" i="6"/>
  <c r="H437" i="6"/>
  <c r="H439" i="6"/>
  <c r="H440" i="6"/>
  <c r="H443" i="6"/>
  <c r="H444" i="6"/>
  <c r="H445" i="6"/>
  <c r="H451" i="6"/>
  <c r="H452" i="6"/>
  <c r="H453" i="6"/>
  <c r="H454" i="6"/>
  <c r="H455" i="6"/>
  <c r="H457" i="6"/>
  <c r="H462" i="6"/>
  <c r="H463" i="6"/>
  <c r="H465" i="6"/>
  <c r="H467" i="6"/>
  <c r="H469" i="6"/>
  <c r="H473" i="6"/>
  <c r="H480" i="6"/>
  <c r="H482" i="6"/>
  <c r="H485" i="6"/>
  <c r="H488" i="6"/>
  <c r="H490" i="6"/>
  <c r="H492" i="6"/>
  <c r="H499" i="6"/>
  <c r="H501" i="6"/>
  <c r="H504" i="6"/>
  <c r="H507" i="6"/>
  <c r="H509" i="6"/>
  <c r="H511" i="6"/>
  <c r="H518" i="6"/>
  <c r="H520" i="6"/>
  <c r="H523" i="6"/>
  <c r="H537" i="6"/>
  <c r="H540" i="6"/>
  <c r="H541" i="6"/>
  <c r="H544" i="6"/>
  <c r="H548" i="6"/>
  <c r="H550" i="6"/>
  <c r="H552" i="6"/>
  <c r="H554" i="6"/>
  <c r="H557" i="6"/>
  <c r="H559" i="6"/>
  <c r="H565" i="6"/>
  <c r="H566" i="6"/>
  <c r="H568" i="6"/>
  <c r="H570" i="6"/>
  <c r="H572" i="6"/>
  <c r="H574" i="6"/>
  <c r="H577" i="6"/>
  <c r="H583" i="6"/>
  <c r="H585" i="6"/>
  <c r="H587" i="6"/>
  <c r="H589" i="6"/>
  <c r="H591" i="6"/>
  <c r="H593" i="6"/>
  <c r="H594" i="6"/>
  <c r="H596" i="6"/>
  <c r="H599" i="6"/>
  <c r="H604" i="6"/>
  <c r="H606" i="6"/>
  <c r="H608" i="6"/>
  <c r="H614" i="6"/>
  <c r="H616" i="6"/>
  <c r="H618" i="6"/>
  <c r="H365" i="6"/>
  <c r="H103" i="6"/>
  <c r="H121" i="6"/>
  <c r="H126" i="6"/>
  <c r="H132" i="6"/>
  <c r="H142" i="6"/>
  <c r="H146" i="6"/>
  <c r="H150" i="6"/>
  <c r="H152" i="6"/>
  <c r="H153" i="6"/>
  <c r="H156" i="6"/>
  <c r="H166" i="6"/>
  <c r="H168" i="6"/>
  <c r="H172" i="6"/>
  <c r="H174" i="6"/>
  <c r="H175" i="6"/>
  <c r="H177" i="6"/>
  <c r="H178" i="6"/>
  <c r="H180" i="6"/>
  <c r="H181" i="6"/>
  <c r="H188" i="6"/>
  <c r="H190" i="6"/>
  <c r="H194" i="6"/>
  <c r="H196" i="6"/>
  <c r="H203" i="6"/>
  <c r="H204" i="6"/>
  <c r="H206" i="6"/>
  <c r="H209" i="6"/>
  <c r="H221" i="6"/>
  <c r="H231" i="6"/>
  <c r="H232" i="6"/>
  <c r="H233" i="6"/>
  <c r="H235" i="6"/>
  <c r="H237" i="6"/>
  <c r="H238" i="6"/>
  <c r="H240" i="6"/>
  <c r="H241" i="6"/>
  <c r="H242" i="6"/>
  <c r="H247" i="6"/>
  <c r="H257" i="6"/>
  <c r="H258" i="6"/>
  <c r="H259" i="6"/>
  <c r="H260" i="6"/>
  <c r="H261" i="6"/>
  <c r="H264" i="6"/>
  <c r="H265" i="6"/>
  <c r="H266" i="6"/>
  <c r="H267" i="6"/>
  <c r="H270" i="6"/>
  <c r="H273" i="6"/>
  <c r="H275" i="6"/>
  <c r="H276" i="6"/>
  <c r="H278" i="6"/>
  <c r="H282" i="6"/>
  <c r="H285" i="6"/>
  <c r="H287" i="6"/>
  <c r="H288" i="6"/>
  <c r="H289" i="6"/>
  <c r="H290" i="6"/>
  <c r="H291" i="6"/>
  <c r="H292" i="6"/>
  <c r="H294" i="6"/>
  <c r="H296" i="6"/>
  <c r="H302" i="6"/>
  <c r="H303" i="6"/>
  <c r="H304" i="6"/>
  <c r="H306" i="6"/>
  <c r="H309" i="6"/>
  <c r="H348" i="6"/>
  <c r="H349" i="6"/>
  <c r="H351" i="6"/>
  <c r="H352" i="6"/>
  <c r="H353" i="6"/>
  <c r="H354" i="6"/>
  <c r="H355" i="6"/>
  <c r="H356" i="6"/>
  <c r="H357" i="6"/>
  <c r="H358" i="6"/>
  <c r="H359" i="6"/>
  <c r="H93" i="6"/>
  <c r="H80" i="6"/>
  <c r="H87" i="6"/>
  <c r="H74" i="6"/>
  <c r="H14" i="6"/>
  <c r="H16" i="6"/>
  <c r="H23" i="6"/>
  <c r="H36" i="6"/>
  <c r="H44" i="6"/>
  <c r="H48" i="6"/>
  <c r="H50" i="6"/>
  <c r="H67" i="6"/>
  <c r="E15" i="6"/>
  <c r="E17" i="6"/>
  <c r="H26" i="6"/>
  <c r="E28" i="6"/>
  <c r="E30" i="6"/>
  <c r="G87" i="5"/>
  <c r="F87" i="4" s="1"/>
  <c r="E38" i="6"/>
  <c r="E43" i="6"/>
  <c r="G105" i="5"/>
  <c r="H65" i="6"/>
  <c r="E66" i="6"/>
  <c r="E68" i="6"/>
  <c r="E79" i="6"/>
  <c r="E86" i="6"/>
  <c r="E88" i="6"/>
  <c r="E95" i="6"/>
  <c r="E102" i="6"/>
  <c r="E101" i="6" s="1"/>
  <c r="E109" i="6"/>
  <c r="G164" i="5"/>
  <c r="F164" i="4" s="1"/>
  <c r="F161" i="4" s="1"/>
  <c r="E115" i="6"/>
  <c r="E117" i="6"/>
  <c r="G172" i="5"/>
  <c r="F172" i="4" s="1"/>
  <c r="F169" i="4" s="1"/>
  <c r="E123" i="6"/>
  <c r="E125" i="6"/>
  <c r="E130" i="6"/>
  <c r="E138" i="6"/>
  <c r="E141" i="6"/>
  <c r="E140" i="6" s="1"/>
  <c r="E145" i="6"/>
  <c r="E144" i="6" s="1"/>
  <c r="E143" i="6" s="1"/>
  <c r="E149" i="6"/>
  <c r="E154" i="6"/>
  <c r="E151" i="6" s="1"/>
  <c r="E160" i="6"/>
  <c r="E157" i="6" s="1"/>
  <c r="E165" i="6"/>
  <c r="E164" i="6" s="1"/>
  <c r="E167" i="6"/>
  <c r="E171" i="6"/>
  <c r="E176" i="6"/>
  <c r="E179" i="6"/>
  <c r="E182" i="6"/>
  <c r="E184" i="6"/>
  <c r="E186" i="6"/>
  <c r="E187" i="6"/>
  <c r="E189" i="6"/>
  <c r="E193" i="6"/>
  <c r="E192" i="6" s="1"/>
  <c r="E195" i="6"/>
  <c r="E205" i="6"/>
  <c r="E200" i="6" s="1"/>
  <c r="E208" i="6"/>
  <c r="E207" i="6" s="1"/>
  <c r="E211" i="6"/>
  <c r="E210" i="6" s="1"/>
  <c r="E215" i="6"/>
  <c r="E217" i="6"/>
  <c r="E219" i="6"/>
  <c r="E223" i="6"/>
  <c r="G291" i="5"/>
  <c r="G288" i="5" s="1"/>
  <c r="G286" i="5" s="1"/>
  <c r="E243" i="6"/>
  <c r="E245" i="6"/>
  <c r="E248" i="6"/>
  <c r="E255" i="6"/>
  <c r="E254" i="6" s="1"/>
  <c r="E263" i="6"/>
  <c r="E262" i="6" s="1"/>
  <c r="E269" i="6"/>
  <c r="E268" i="6" s="1"/>
  <c r="E272" i="6"/>
  <c r="E274" i="6"/>
  <c r="E277" i="6"/>
  <c r="E281" i="6"/>
  <c r="E280" i="6" s="1"/>
  <c r="E284" i="6"/>
  <c r="E286" i="6"/>
  <c r="E293" i="6"/>
  <c r="E295" i="6"/>
  <c r="E301" i="6"/>
  <c r="E300" i="6" s="1"/>
  <c r="E305" i="6"/>
  <c r="E308" i="6"/>
  <c r="E307" i="6" s="1"/>
  <c r="E343" i="6"/>
  <c r="E342" i="6" s="1"/>
  <c r="E346" i="6"/>
  <c r="E350" i="6"/>
  <c r="E364" i="6"/>
  <c r="E363" i="6" s="1"/>
  <c r="E368" i="6"/>
  <c r="E372" i="6"/>
  <c r="E371" i="6" s="1"/>
  <c r="E370" i="6" s="1"/>
  <c r="E379" i="6"/>
  <c r="E382" i="6"/>
  <c r="E389" i="6"/>
  <c r="E394" i="6"/>
  <c r="E391" i="6" s="1"/>
  <c r="E436" i="6"/>
  <c r="E438" i="6"/>
  <c r="E442" i="6"/>
  <c r="E450" i="6"/>
  <c r="E456" i="6"/>
  <c r="E461" i="6"/>
  <c r="E464" i="6"/>
  <c r="E466" i="6"/>
  <c r="E468" i="6"/>
  <c r="E472" i="6"/>
  <c r="E479" i="6"/>
  <c r="E481" i="6"/>
  <c r="E484" i="6"/>
  <c r="E483" i="6" s="1"/>
  <c r="E487" i="6"/>
  <c r="E489" i="6"/>
  <c r="E491" i="6"/>
  <c r="E498" i="6"/>
  <c r="E497" i="6" s="1"/>
  <c r="E500" i="6"/>
  <c r="E503" i="6"/>
  <c r="E506" i="6"/>
  <c r="E508" i="6"/>
  <c r="E510" i="6"/>
  <c r="E517" i="6"/>
  <c r="E516" i="6" s="1"/>
  <c r="E519" i="6"/>
  <c r="E522" i="6"/>
  <c r="E521" i="6" s="1"/>
  <c r="E525" i="6"/>
  <c r="E527" i="6"/>
  <c r="E529" i="6"/>
  <c r="E536" i="6"/>
  <c r="E535" i="6" s="1"/>
  <c r="E539" i="6"/>
  <c r="E538" i="6" s="1"/>
  <c r="E543" i="6"/>
  <c r="E542" i="6" s="1"/>
  <c r="E547" i="6"/>
  <c r="E549" i="6"/>
  <c r="E551" i="6"/>
  <c r="E553" i="6"/>
  <c r="E556" i="6"/>
  <c r="E558" i="6"/>
  <c r="E567" i="6"/>
  <c r="E564" i="6" s="1"/>
  <c r="E569" i="6"/>
  <c r="E573" i="6"/>
  <c r="E571" i="6" s="1"/>
  <c r="E576" i="6"/>
  <c r="E575" i="6" s="1"/>
  <c r="E582" i="6"/>
  <c r="E584" i="6"/>
  <c r="E586" i="6"/>
  <c r="E588" i="6"/>
  <c r="E592" i="6"/>
  <c r="E595" i="6"/>
  <c r="E598" i="6"/>
  <c r="E597" i="6" s="1"/>
  <c r="E603" i="6"/>
  <c r="E605" i="6"/>
  <c r="E607" i="6"/>
  <c r="E651" i="6"/>
  <c r="E650" i="6" s="1"/>
  <c r="E11" i="6"/>
  <c r="H183" i="6"/>
  <c r="H173" i="6"/>
  <c r="H155" i="6"/>
  <c r="H136" i="6"/>
  <c r="H131" i="6"/>
  <c r="H127" i="6"/>
  <c r="H120" i="6"/>
  <c r="H118" i="6"/>
  <c r="H116" i="6"/>
  <c r="H113" i="6"/>
  <c r="H110" i="6"/>
  <c r="H99" i="6"/>
  <c r="H98" i="6"/>
  <c r="H96" i="6"/>
  <c r="H143" i="5"/>
  <c r="F143" i="5"/>
  <c r="E143" i="4" s="1"/>
  <c r="G93" i="6"/>
  <c r="H92" i="6"/>
  <c r="H83" i="6"/>
  <c r="H82" i="6"/>
  <c r="H124" i="5"/>
  <c r="G124" i="4" s="1"/>
  <c r="F124" i="5"/>
  <c r="E124" i="4" s="1"/>
  <c r="G74" i="6"/>
  <c r="H77" i="6"/>
  <c r="H76" i="6"/>
  <c r="H72" i="6"/>
  <c r="H62" i="6"/>
  <c r="H58" i="6"/>
  <c r="H57" i="6"/>
  <c r="H49" i="6"/>
  <c r="H41" i="6"/>
  <c r="H35" i="6"/>
  <c r="H25" i="6"/>
  <c r="H24" i="6"/>
  <c r="H21" i="6"/>
  <c r="H18" i="6"/>
  <c r="H59" i="6"/>
  <c r="H53" i="6"/>
  <c r="H89" i="6"/>
  <c r="H39" i="6"/>
  <c r="E432" i="6" l="1"/>
  <c r="F158" i="4"/>
  <c r="E148" i="6"/>
  <c r="E199" i="6"/>
  <c r="H660" i="6"/>
  <c r="H94" i="6"/>
  <c r="H212" i="6"/>
  <c r="H29" i="6"/>
  <c r="H51" i="6"/>
  <c r="H244" i="6"/>
  <c r="H239" i="6"/>
  <c r="E271" i="6"/>
  <c r="E236" i="6"/>
  <c r="E234" i="6" s="1"/>
  <c r="H78" i="6"/>
  <c r="H42" i="6"/>
  <c r="F71" i="6"/>
  <c r="H202" i="6"/>
  <c r="H218" i="6"/>
  <c r="H100" i="6"/>
  <c r="H112" i="6"/>
  <c r="E515" i="6"/>
  <c r="E378" i="6"/>
  <c r="E377" i="6" s="1"/>
  <c r="E362" i="6"/>
  <c r="E361" i="6" s="1"/>
  <c r="E360" i="6" s="1"/>
  <c r="E34" i="11" s="1"/>
  <c r="E33" i="11" s="1"/>
  <c r="H256" i="6"/>
  <c r="F90" i="6"/>
  <c r="H55" i="6"/>
  <c r="H114" i="6"/>
  <c r="E345" i="6"/>
  <c r="E283" i="6"/>
  <c r="E279" i="6" s="1"/>
  <c r="H91" i="6"/>
  <c r="H226" i="6"/>
  <c r="H122" i="6"/>
  <c r="H37" i="6"/>
  <c r="H216" i="6"/>
  <c r="I143" i="5"/>
  <c r="J143" i="5"/>
  <c r="H47" i="6"/>
  <c r="H224" i="6"/>
  <c r="E502" i="6"/>
  <c r="E191" i="6"/>
  <c r="F105" i="4"/>
  <c r="G102" i="5"/>
  <c r="E27" i="6"/>
  <c r="H249" i="6"/>
  <c r="H220" i="6"/>
  <c r="G128" i="5"/>
  <c r="F128" i="4" s="1"/>
  <c r="F125" i="4" s="1"/>
  <c r="E75" i="6"/>
  <c r="E524" i="6"/>
  <c r="E388" i="6"/>
  <c r="E387" i="6" s="1"/>
  <c r="E90" i="6"/>
  <c r="G144" i="5"/>
  <c r="F144" i="4" s="1"/>
  <c r="F140" i="4" s="1"/>
  <c r="E52" i="6"/>
  <c r="H229" i="6"/>
  <c r="E546" i="6"/>
  <c r="E133" i="6"/>
  <c r="E129" i="6" s="1"/>
  <c r="E128" i="6" s="1"/>
  <c r="G186" i="5"/>
  <c r="G169" i="5"/>
  <c r="G161" i="5"/>
  <c r="E97" i="6"/>
  <c r="G150" i="5"/>
  <c r="F150" i="4" s="1"/>
  <c r="F147" i="4" s="1"/>
  <c r="E61" i="6"/>
  <c r="G115" i="5"/>
  <c r="F115" i="4" s="1"/>
  <c r="E46" i="6"/>
  <c r="G101" i="5"/>
  <c r="F101" i="4" s="1"/>
  <c r="F84" i="4"/>
  <c r="G84" i="5"/>
  <c r="E20" i="6"/>
  <c r="E19" i="6" s="1"/>
  <c r="G76" i="5"/>
  <c r="J124" i="5"/>
  <c r="E505" i="6"/>
  <c r="E486" i="6"/>
  <c r="E119" i="6"/>
  <c r="E111" i="6"/>
  <c r="E81" i="6"/>
  <c r="G135" i="5"/>
  <c r="F135" i="4" s="1"/>
  <c r="F131" i="4" s="1"/>
  <c r="E56" i="6"/>
  <c r="G110" i="5"/>
  <c r="E34" i="6"/>
  <c r="H246" i="6"/>
  <c r="E40" i="6"/>
  <c r="G92" i="5"/>
  <c r="E71" i="6"/>
  <c r="G123" i="5"/>
  <c r="H73" i="6"/>
  <c r="E163" i="6"/>
  <c r="E170" i="6"/>
  <c r="E169" i="6" s="1"/>
  <c r="E228" i="6"/>
  <c r="G279" i="5"/>
  <c r="G277" i="5" s="1"/>
  <c r="E225" i="6"/>
  <c r="G276" i="5"/>
  <c r="E214" i="6"/>
  <c r="E299" i="6"/>
  <c r="E471" i="6"/>
  <c r="E460" i="6"/>
  <c r="E449" i="6"/>
  <c r="E602" i="6"/>
  <c r="E590" i="6"/>
  <c r="E581" i="6"/>
  <c r="E555" i="6"/>
  <c r="E563" i="6"/>
  <c r="E478" i="6"/>
  <c r="E10" i="6"/>
  <c r="E534" i="6"/>
  <c r="G143" i="4"/>
  <c r="I124" i="5"/>
  <c r="J45" i="1"/>
  <c r="H656" i="6" l="1"/>
  <c r="F110" i="4"/>
  <c r="F106" i="4" s="1"/>
  <c r="H71" i="6"/>
  <c r="E545" i="6"/>
  <c r="E533" i="6" s="1"/>
  <c r="E376" i="6"/>
  <c r="E514" i="6"/>
  <c r="E513" i="6" s="1"/>
  <c r="H90" i="6"/>
  <c r="E70" i="6"/>
  <c r="E45" i="6"/>
  <c r="E108" i="6"/>
  <c r="G90" i="5"/>
  <c r="G83" i="5" s="1"/>
  <c r="F92" i="4"/>
  <c r="F90" i="4" s="1"/>
  <c r="F83" i="4" s="1"/>
  <c r="G147" i="5"/>
  <c r="G121" i="5"/>
  <c r="F123" i="4"/>
  <c r="F121" i="4" s="1"/>
  <c r="G125" i="5"/>
  <c r="E222" i="6"/>
  <c r="E213" i="6" s="1"/>
  <c r="G131" i="5"/>
  <c r="G158" i="5"/>
  <c r="F187" i="4"/>
  <c r="F183" i="4" s="1"/>
  <c r="F179" i="4" s="1"/>
  <c r="F178" i="4" s="1"/>
  <c r="E42" i="11" s="1"/>
  <c r="G182" i="5"/>
  <c r="G179" i="5" s="1"/>
  <c r="G178" i="5" s="1"/>
  <c r="G140" i="5"/>
  <c r="G106" i="5"/>
  <c r="F111" i="4"/>
  <c r="G111" i="5"/>
  <c r="E496" i="6"/>
  <c r="G274" i="5"/>
  <c r="G271" i="5" s="1"/>
  <c r="F104" i="4"/>
  <c r="F102" i="4" s="1"/>
  <c r="E33" i="6"/>
  <c r="F75" i="4"/>
  <c r="F69" i="4" s="1"/>
  <c r="F68" i="4" s="1"/>
  <c r="F58" i="4" s="1"/>
  <c r="E40" i="11" s="1"/>
  <c r="G70" i="5"/>
  <c r="G69" i="5" s="1"/>
  <c r="G59" i="5" s="1"/>
  <c r="F96" i="4"/>
  <c r="G96" i="5"/>
  <c r="E162" i="6"/>
  <c r="E298" i="6"/>
  <c r="E470" i="6"/>
  <c r="E459" i="6"/>
  <c r="E441" i="6"/>
  <c r="E431" i="6" s="1"/>
  <c r="E601" i="6"/>
  <c r="E580" i="6"/>
  <c r="E579" i="6" s="1"/>
  <c r="E477" i="6"/>
  <c r="E9" i="6"/>
  <c r="E36" i="11" l="1"/>
  <c r="E35" i="11" s="1"/>
  <c r="G262" i="5"/>
  <c r="G247" i="5" s="1"/>
  <c r="G352" i="5" s="1"/>
  <c r="E32" i="6"/>
  <c r="H655" i="6"/>
  <c r="E653" i="6"/>
  <c r="H653" i="6" s="1"/>
  <c r="F95" i="4"/>
  <c r="G120" i="5"/>
  <c r="E495" i="6"/>
  <c r="E198" i="6"/>
  <c r="E197" i="6" s="1"/>
  <c r="G95" i="5"/>
  <c r="F120" i="4"/>
  <c r="E297" i="6"/>
  <c r="E458" i="6"/>
  <c r="E430" i="6" s="1"/>
  <c r="E429" i="6" s="1"/>
  <c r="E600" i="6"/>
  <c r="E578" i="6" s="1"/>
  <c r="E562" i="6"/>
  <c r="E532" i="6"/>
  <c r="E531" i="6" s="1"/>
  <c r="E512" i="6"/>
  <c r="E476" i="6"/>
  <c r="E28" i="11" l="1"/>
  <c r="E27" i="11" s="1"/>
  <c r="F82" i="4"/>
  <c r="E41" i="11" s="1"/>
  <c r="E46" i="11" s="1"/>
  <c r="G82" i="5"/>
  <c r="G58" i="5" s="1"/>
  <c r="G8" i="5" s="1"/>
  <c r="E669" i="6"/>
  <c r="E8" i="6"/>
  <c r="E668" i="6" s="1"/>
  <c r="E494" i="6"/>
  <c r="E493" i="6" s="1"/>
  <c r="E561" i="6"/>
  <c r="E32" i="11" s="1"/>
  <c r="E31" i="11" s="1"/>
  <c r="E475" i="6"/>
  <c r="H450" i="5"/>
  <c r="F450" i="5"/>
  <c r="G365" i="6"/>
  <c r="F364" i="6"/>
  <c r="H364" i="6" s="1"/>
  <c r="D364" i="6"/>
  <c r="E219" i="4"/>
  <c r="E26" i="11" l="1"/>
  <c r="E25" i="11" s="1"/>
  <c r="E7" i="6"/>
  <c r="E6" i="6" s="1"/>
  <c r="J450" i="5"/>
  <c r="E670" i="6"/>
  <c r="E560" i="6"/>
  <c r="G246" i="5"/>
  <c r="G496" i="5"/>
  <c r="F57" i="4"/>
  <c r="I14" i="3" s="1"/>
  <c r="I13" i="3" s="1"/>
  <c r="I16" i="3" s="1"/>
  <c r="I28" i="3" s="1"/>
  <c r="E474" i="6"/>
  <c r="F15" i="6"/>
  <c r="H15" i="6" s="1"/>
  <c r="F17" i="6"/>
  <c r="H17" i="6" s="1"/>
  <c r="H22" i="6"/>
  <c r="F43" i="6"/>
  <c r="H63" i="6"/>
  <c r="H64" i="6"/>
  <c r="F66" i="6"/>
  <c r="H66" i="6" s="1"/>
  <c r="F79" i="6"/>
  <c r="H79" i="6" s="1"/>
  <c r="H84" i="6"/>
  <c r="H85" i="6"/>
  <c r="F86" i="6"/>
  <c r="H86" i="6" s="1"/>
  <c r="F95" i="6"/>
  <c r="H95" i="6" s="1"/>
  <c r="F102" i="6"/>
  <c r="F109" i="6"/>
  <c r="H109" i="6" s="1"/>
  <c r="F115" i="6"/>
  <c r="H115" i="6" s="1"/>
  <c r="F117" i="6"/>
  <c r="H117" i="6" s="1"/>
  <c r="F119" i="6"/>
  <c r="H119" i="6" s="1"/>
  <c r="F125" i="6"/>
  <c r="H125" i="6" s="1"/>
  <c r="F130" i="6"/>
  <c r="H130" i="6" s="1"/>
  <c r="H134" i="6"/>
  <c r="H135" i="6"/>
  <c r="H137" i="6"/>
  <c r="F141" i="6"/>
  <c r="F149" i="6"/>
  <c r="H149" i="6" s="1"/>
  <c r="F154" i="6"/>
  <c r="F164" i="6"/>
  <c r="H164" i="6" s="1"/>
  <c r="F165" i="6"/>
  <c r="H165" i="6" s="1"/>
  <c r="F167" i="6"/>
  <c r="H167" i="6" s="1"/>
  <c r="F176" i="6"/>
  <c r="H176" i="6" s="1"/>
  <c r="F179" i="6"/>
  <c r="H179" i="6" s="1"/>
  <c r="F182" i="6"/>
  <c r="H182" i="6" s="1"/>
  <c r="F186" i="6"/>
  <c r="H186" i="6" s="1"/>
  <c r="F187" i="6"/>
  <c r="H187" i="6" s="1"/>
  <c r="F189" i="6"/>
  <c r="H189" i="6" s="1"/>
  <c r="F193" i="6"/>
  <c r="F195" i="6"/>
  <c r="H195" i="6" s="1"/>
  <c r="F201" i="6"/>
  <c r="H201" i="6" s="1"/>
  <c r="F205" i="6"/>
  <c r="H205" i="6" s="1"/>
  <c r="F208" i="6"/>
  <c r="F28" i="6"/>
  <c r="H28" i="6" s="1"/>
  <c r="H38" i="6"/>
  <c r="F223" i="6"/>
  <c r="F236" i="6"/>
  <c r="F88" i="6"/>
  <c r="H88" i="6" s="1"/>
  <c r="F263" i="6"/>
  <c r="F269" i="6"/>
  <c r="F272" i="6"/>
  <c r="H272" i="6" s="1"/>
  <c r="F274" i="6"/>
  <c r="H274" i="6" s="1"/>
  <c r="F277" i="6"/>
  <c r="H277" i="6" s="1"/>
  <c r="F281" i="6"/>
  <c r="F284" i="6"/>
  <c r="H284" i="6" s="1"/>
  <c r="F286" i="6"/>
  <c r="H286" i="6" s="1"/>
  <c r="F293" i="6"/>
  <c r="H293" i="6" s="1"/>
  <c r="F295" i="6"/>
  <c r="H295" i="6" s="1"/>
  <c r="F301" i="6"/>
  <c r="F305" i="6"/>
  <c r="H305" i="6" s="1"/>
  <c r="F308" i="6"/>
  <c r="F343" i="6"/>
  <c r="F350" i="6"/>
  <c r="H350" i="6" s="1"/>
  <c r="F363" i="6"/>
  <c r="H363" i="6" s="1"/>
  <c r="F368" i="6"/>
  <c r="H368" i="6" s="1"/>
  <c r="F372" i="6"/>
  <c r="F379" i="6"/>
  <c r="F382" i="6"/>
  <c r="H382" i="6" s="1"/>
  <c r="H384" i="6"/>
  <c r="F389" i="6"/>
  <c r="H389" i="6" s="1"/>
  <c r="F394" i="6"/>
  <c r="F436" i="6"/>
  <c r="F438" i="6"/>
  <c r="H438" i="6" s="1"/>
  <c r="F442" i="6"/>
  <c r="H442" i="6" s="1"/>
  <c r="F450" i="6"/>
  <c r="H450" i="6" s="1"/>
  <c r="F456" i="6"/>
  <c r="H456" i="6" s="1"/>
  <c r="F461" i="6"/>
  <c r="H461" i="6" s="1"/>
  <c r="F464" i="6"/>
  <c r="H464" i="6" s="1"/>
  <c r="F466" i="6"/>
  <c r="H466" i="6" s="1"/>
  <c r="F468" i="6"/>
  <c r="H468" i="6" s="1"/>
  <c r="F472" i="6"/>
  <c r="F478" i="6"/>
  <c r="H478" i="6" s="1"/>
  <c r="F479" i="6"/>
  <c r="H479" i="6" s="1"/>
  <c r="F481" i="6"/>
  <c r="H481" i="6" s="1"/>
  <c r="F484" i="6"/>
  <c r="F487" i="6"/>
  <c r="H487" i="6" s="1"/>
  <c r="F489" i="6"/>
  <c r="H489" i="6" s="1"/>
  <c r="F491" i="6"/>
  <c r="H491" i="6" s="1"/>
  <c r="F498" i="6"/>
  <c r="F500" i="6"/>
  <c r="H500" i="6" s="1"/>
  <c r="F503" i="6"/>
  <c r="F506" i="6"/>
  <c r="H506" i="6" s="1"/>
  <c r="F508" i="6"/>
  <c r="H508" i="6" s="1"/>
  <c r="F510" i="6"/>
  <c r="H510" i="6" s="1"/>
  <c r="F517" i="6"/>
  <c r="F519" i="6"/>
  <c r="H519" i="6" s="1"/>
  <c r="F522" i="6"/>
  <c r="F525" i="6"/>
  <c r="F527" i="6"/>
  <c r="F529" i="6"/>
  <c r="F536" i="6"/>
  <c r="F539" i="6"/>
  <c r="F543" i="6"/>
  <c r="F547" i="6"/>
  <c r="H547" i="6" s="1"/>
  <c r="F549" i="6"/>
  <c r="H549" i="6" s="1"/>
  <c r="F551" i="6"/>
  <c r="H551" i="6" s="1"/>
  <c r="F553" i="6"/>
  <c r="H553" i="6" s="1"/>
  <c r="F556" i="6"/>
  <c r="H556" i="6" s="1"/>
  <c r="F558" i="6"/>
  <c r="H558" i="6" s="1"/>
  <c r="F567" i="6"/>
  <c r="F569" i="6"/>
  <c r="F573" i="6"/>
  <c r="F576" i="6"/>
  <c r="F582" i="6"/>
  <c r="H582" i="6" s="1"/>
  <c r="F584" i="6"/>
  <c r="H584" i="6" s="1"/>
  <c r="F586" i="6"/>
  <c r="H586" i="6" s="1"/>
  <c r="F588" i="6"/>
  <c r="H588" i="6" s="1"/>
  <c r="F592" i="6"/>
  <c r="H592" i="6" s="1"/>
  <c r="F595" i="6"/>
  <c r="H595" i="6" s="1"/>
  <c r="F598" i="6"/>
  <c r="F603" i="6"/>
  <c r="H603" i="6" s="1"/>
  <c r="F605" i="6"/>
  <c r="H605" i="6" s="1"/>
  <c r="F607" i="6"/>
  <c r="H607" i="6" s="1"/>
  <c r="H613" i="6"/>
  <c r="F617" i="6"/>
  <c r="F612" i="6" s="1"/>
  <c r="F611" i="6" s="1"/>
  <c r="H620" i="6"/>
  <c r="F651" i="6"/>
  <c r="H665" i="6"/>
  <c r="E30" i="11" l="1"/>
  <c r="E29" i="11" s="1"/>
  <c r="H436" i="6"/>
  <c r="F432" i="6"/>
  <c r="H43" i="6"/>
  <c r="F33" i="6"/>
  <c r="F610" i="6"/>
  <c r="F609" i="6" s="1"/>
  <c r="H343" i="6"/>
  <c r="H651" i="6"/>
  <c r="H525" i="6"/>
  <c r="H529" i="6"/>
  <c r="H527" i="6"/>
  <c r="H569" i="6"/>
  <c r="H223" i="6"/>
  <c r="H236" i="6"/>
  <c r="H617" i="6"/>
  <c r="F248" i="4"/>
  <c r="D10" i="8" s="1"/>
  <c r="H13" i="6"/>
  <c r="F11" i="6"/>
  <c r="H664" i="6"/>
  <c r="F268" i="6"/>
  <c r="H268" i="6" s="1"/>
  <c r="H269" i="6"/>
  <c r="F650" i="6"/>
  <c r="F483" i="6"/>
  <c r="H483" i="6" s="1"/>
  <c r="H484" i="6"/>
  <c r="F378" i="6"/>
  <c r="H378" i="6" s="1"/>
  <c r="H379" i="6"/>
  <c r="F307" i="6"/>
  <c r="H307" i="6" s="1"/>
  <c r="H308" i="6"/>
  <c r="F597" i="6"/>
  <c r="H597" i="6" s="1"/>
  <c r="H598" i="6"/>
  <c r="F371" i="6"/>
  <c r="H372" i="6"/>
  <c r="F346" i="6"/>
  <c r="H346" i="6" s="1"/>
  <c r="H347" i="6"/>
  <c r="F160" i="6"/>
  <c r="H161" i="6"/>
  <c r="F140" i="6"/>
  <c r="H140" i="6" s="1"/>
  <c r="H141" i="6"/>
  <c r="F101" i="6"/>
  <c r="H101" i="6" s="1"/>
  <c r="H102" i="6"/>
  <c r="F538" i="6"/>
  <c r="H538" i="6" s="1"/>
  <c r="H539" i="6"/>
  <c r="F280" i="6"/>
  <c r="H280" i="6" s="1"/>
  <c r="H281" i="6"/>
  <c r="F68" i="6"/>
  <c r="H68" i="6" s="1"/>
  <c r="H69" i="6"/>
  <c r="F535" i="6"/>
  <c r="H535" i="6" s="1"/>
  <c r="H536" i="6"/>
  <c r="F521" i="6"/>
  <c r="H521" i="6" s="1"/>
  <c r="H522" i="6"/>
  <c r="F497" i="6"/>
  <c r="H497" i="6" s="1"/>
  <c r="H498" i="6"/>
  <c r="F471" i="6"/>
  <c r="H472" i="6"/>
  <c r="F262" i="6"/>
  <c r="H262" i="6" s="1"/>
  <c r="H263" i="6"/>
  <c r="F145" i="6"/>
  <c r="H147" i="6"/>
  <c r="F123" i="6"/>
  <c r="H123" i="6" s="1"/>
  <c r="H124" i="6"/>
  <c r="F30" i="6"/>
  <c r="H30" i="6" s="1"/>
  <c r="H31" i="6"/>
  <c r="F542" i="6"/>
  <c r="H542" i="6" s="1"/>
  <c r="H543" i="6"/>
  <c r="F516" i="6"/>
  <c r="H516" i="6" s="1"/>
  <c r="H517" i="6"/>
  <c r="F502" i="6"/>
  <c r="H502" i="6" s="1"/>
  <c r="H503" i="6"/>
  <c r="F342" i="6"/>
  <c r="H342" i="6" s="1"/>
  <c r="F300" i="6"/>
  <c r="H300" i="6" s="1"/>
  <c r="H301" i="6"/>
  <c r="F207" i="6"/>
  <c r="H207" i="6" s="1"/>
  <c r="H208" i="6"/>
  <c r="F184" i="6"/>
  <c r="H184" i="6" s="1"/>
  <c r="H185" i="6"/>
  <c r="F151" i="6"/>
  <c r="H151" i="6" s="1"/>
  <c r="H154" i="6"/>
  <c r="F138" i="6"/>
  <c r="H138" i="6" s="1"/>
  <c r="H139" i="6"/>
  <c r="F391" i="6"/>
  <c r="H391" i="6" s="1"/>
  <c r="H394" i="6"/>
  <c r="F192" i="6"/>
  <c r="H192" i="6" s="1"/>
  <c r="H193" i="6"/>
  <c r="F571" i="6"/>
  <c r="H571" i="6" s="1"/>
  <c r="H573" i="6"/>
  <c r="F564" i="6"/>
  <c r="H564" i="6" s="1"/>
  <c r="H567" i="6"/>
  <c r="F575" i="6"/>
  <c r="H575" i="6" s="1"/>
  <c r="H576" i="6"/>
  <c r="F200" i="6"/>
  <c r="F449" i="6"/>
  <c r="F243" i="6"/>
  <c r="H243" i="6" s="1"/>
  <c r="H619" i="6"/>
  <c r="F590" i="6"/>
  <c r="F524" i="6"/>
  <c r="F362" i="6"/>
  <c r="F97" i="6"/>
  <c r="H97" i="6" s="1"/>
  <c r="F75" i="6"/>
  <c r="H75" i="6" s="1"/>
  <c r="F555" i="6"/>
  <c r="H555" i="6" s="1"/>
  <c r="H46" i="6"/>
  <c r="F546" i="6"/>
  <c r="H546" i="6" s="1"/>
  <c r="F581" i="6"/>
  <c r="H61" i="6"/>
  <c r="F602" i="6"/>
  <c r="F486" i="6"/>
  <c r="H486" i="6" s="1"/>
  <c r="H248" i="6"/>
  <c r="F133" i="6"/>
  <c r="H81" i="6"/>
  <c r="F460" i="6"/>
  <c r="F271" i="6"/>
  <c r="H271" i="6" s="1"/>
  <c r="F111" i="6"/>
  <c r="F217" i="6"/>
  <c r="H217" i="6" s="1"/>
  <c r="F171" i="6"/>
  <c r="F20" i="6"/>
  <c r="F505" i="6"/>
  <c r="H505" i="6" s="1"/>
  <c r="F283" i="6"/>
  <c r="F255" i="6"/>
  <c r="F254" i="6" s="1"/>
  <c r="H254" i="6" s="1"/>
  <c r="F163" i="6"/>
  <c r="H40" i="6"/>
  <c r="H34" i="6"/>
  <c r="F245" i="6"/>
  <c r="H245" i="6" s="1"/>
  <c r="F219" i="6"/>
  <c r="H219" i="6" s="1"/>
  <c r="F215" i="6"/>
  <c r="I224" i="5"/>
  <c r="H221" i="5"/>
  <c r="J221" i="5" s="1"/>
  <c r="H222" i="5"/>
  <c r="J222" i="5" s="1"/>
  <c r="H223" i="5"/>
  <c r="F223" i="5"/>
  <c r="E225" i="4" s="1"/>
  <c r="F222" i="5"/>
  <c r="F221" i="5"/>
  <c r="D160" i="6"/>
  <c r="D157" i="6" s="1"/>
  <c r="D154" i="6"/>
  <c r="D151" i="6" s="1"/>
  <c r="F211" i="5"/>
  <c r="F210" i="5" s="1"/>
  <c r="G161" i="6"/>
  <c r="H188" i="5"/>
  <c r="F188" i="5"/>
  <c r="E189" i="4" s="1"/>
  <c r="E188" i="4" s="1"/>
  <c r="G139" i="6"/>
  <c r="G142" i="6"/>
  <c r="D138" i="6"/>
  <c r="H81" i="5"/>
  <c r="J81" i="5" s="1"/>
  <c r="F81" i="5"/>
  <c r="F80" i="5" s="1"/>
  <c r="D30" i="6"/>
  <c r="E37" i="11" l="1"/>
  <c r="E24" i="11"/>
  <c r="H432" i="6"/>
  <c r="H163" i="6"/>
  <c r="H160" i="6"/>
  <c r="F157" i="6"/>
  <c r="D14" i="8"/>
  <c r="H650" i="6"/>
  <c r="H524" i="6"/>
  <c r="F27" i="6"/>
  <c r="H27" i="6" s="1"/>
  <c r="F234" i="6"/>
  <c r="H590" i="6"/>
  <c r="H200" i="6"/>
  <c r="H215" i="6"/>
  <c r="F214" i="6"/>
  <c r="H214" i="6" s="1"/>
  <c r="H611" i="6"/>
  <c r="H612" i="6"/>
  <c r="D13" i="8"/>
  <c r="D15" i="8"/>
  <c r="F496" i="6"/>
  <c r="H496" i="6" s="1"/>
  <c r="F191" i="6"/>
  <c r="H191" i="6" s="1"/>
  <c r="F388" i="6"/>
  <c r="F387" i="6" s="1"/>
  <c r="H387" i="6" s="1"/>
  <c r="F377" i="6"/>
  <c r="H377" i="6" s="1"/>
  <c r="F459" i="6"/>
  <c r="H460" i="6"/>
  <c r="F534" i="6"/>
  <c r="H255" i="6"/>
  <c r="F19" i="6"/>
  <c r="H19" i="6" s="1"/>
  <c r="H20" i="6"/>
  <c r="F580" i="6"/>
  <c r="H581" i="6"/>
  <c r="F515" i="6"/>
  <c r="H515" i="6" s="1"/>
  <c r="F601" i="6"/>
  <c r="H602" i="6"/>
  <c r="F108" i="6"/>
  <c r="H111" i="6"/>
  <c r="H449" i="6"/>
  <c r="G189" i="4"/>
  <c r="G188" i="4" s="1"/>
  <c r="J188" i="5"/>
  <c r="G225" i="4"/>
  <c r="J223" i="5"/>
  <c r="F210" i="6"/>
  <c r="H210" i="6" s="1"/>
  <c r="H211" i="6"/>
  <c r="F10" i="6"/>
  <c r="H10" i="6" s="1"/>
  <c r="H11" i="6"/>
  <c r="F279" i="6"/>
  <c r="H283" i="6"/>
  <c r="F345" i="6"/>
  <c r="F129" i="6"/>
  <c r="H133" i="6"/>
  <c r="F299" i="6"/>
  <c r="F298" i="6" s="1"/>
  <c r="F477" i="6"/>
  <c r="H477" i="6" s="1"/>
  <c r="F361" i="6"/>
  <c r="H362" i="6"/>
  <c r="F144" i="6"/>
  <c r="H145" i="6"/>
  <c r="F470" i="6"/>
  <c r="H470" i="6" s="1"/>
  <c r="H471" i="6"/>
  <c r="F370" i="6"/>
  <c r="H370" i="6" s="1"/>
  <c r="H371" i="6"/>
  <c r="F170" i="6"/>
  <c r="H171" i="6"/>
  <c r="F563" i="6"/>
  <c r="F562" i="6" s="1"/>
  <c r="H33" i="6"/>
  <c r="F545" i="6"/>
  <c r="H545" i="6" s="1"/>
  <c r="F70" i="6"/>
  <c r="H70" i="6" s="1"/>
  <c r="H211" i="5"/>
  <c r="H220" i="5"/>
  <c r="J220" i="5" s="1"/>
  <c r="I223" i="5"/>
  <c r="I222" i="5"/>
  <c r="I221" i="5"/>
  <c r="F220" i="5"/>
  <c r="E211" i="4"/>
  <c r="E210" i="4" s="1"/>
  <c r="G138" i="6"/>
  <c r="F187" i="5"/>
  <c r="H187" i="5"/>
  <c r="J187" i="5" s="1"/>
  <c r="I188" i="5"/>
  <c r="H80" i="5"/>
  <c r="J80" i="5" s="1"/>
  <c r="I81" i="5"/>
  <c r="E81" i="4"/>
  <c r="E80" i="4" s="1"/>
  <c r="G31" i="6"/>
  <c r="G81" i="4"/>
  <c r="G80" i="4" s="1"/>
  <c r="H48" i="5"/>
  <c r="F48" i="5"/>
  <c r="F47" i="5" s="1"/>
  <c r="D464" i="6"/>
  <c r="G465" i="6"/>
  <c r="H16" i="10"/>
  <c r="G16" i="10"/>
  <c r="G15" i="10" s="1"/>
  <c r="G14" i="10" s="1"/>
  <c r="G18" i="10" s="1"/>
  <c r="F16" i="10"/>
  <c r="E16" i="10"/>
  <c r="H15" i="10"/>
  <c r="H14" i="10" s="1"/>
  <c r="H18" i="10" s="1"/>
  <c r="E15" i="10"/>
  <c r="E14" i="10" s="1"/>
  <c r="E18" i="10" s="1"/>
  <c r="F14" i="10"/>
  <c r="F18" i="10" s="1"/>
  <c r="F13" i="10"/>
  <c r="H11" i="10"/>
  <c r="G11" i="10"/>
  <c r="G10" i="10" s="1"/>
  <c r="G9" i="10" s="1"/>
  <c r="G13" i="10" s="1"/>
  <c r="H10" i="10"/>
  <c r="H9" i="10" s="1"/>
  <c r="H13" i="10" s="1"/>
  <c r="E10" i="10"/>
  <c r="E9" i="10" s="1"/>
  <c r="E13" i="10" s="1"/>
  <c r="F9" i="10"/>
  <c r="H534" i="6" l="1"/>
  <c r="F533" i="6"/>
  <c r="H234" i="6"/>
  <c r="H108" i="6"/>
  <c r="F199" i="6"/>
  <c r="H199" i="6" s="1"/>
  <c r="H279" i="6"/>
  <c r="H345" i="6"/>
  <c r="H610" i="6"/>
  <c r="H663" i="6"/>
  <c r="F495" i="6"/>
  <c r="F494" i="6" s="1"/>
  <c r="D12" i="8"/>
  <c r="F476" i="6"/>
  <c r="F475" i="6" s="1"/>
  <c r="H388" i="6"/>
  <c r="F532" i="6"/>
  <c r="F531" i="6" s="1"/>
  <c r="F514" i="6"/>
  <c r="F513" i="6" s="1"/>
  <c r="F376" i="6"/>
  <c r="H376" i="6" s="1"/>
  <c r="F9" i="6"/>
  <c r="H299" i="6"/>
  <c r="F579" i="6"/>
  <c r="H580" i="6"/>
  <c r="H563" i="6"/>
  <c r="F360" i="6"/>
  <c r="F34" i="11" s="1"/>
  <c r="H34" i="11" s="1"/>
  <c r="H361" i="6"/>
  <c r="F128" i="6"/>
  <c r="H128" i="6" s="1"/>
  <c r="H129" i="6"/>
  <c r="H157" i="6"/>
  <c r="F148" i="6"/>
  <c r="H148" i="6" s="1"/>
  <c r="F143" i="6"/>
  <c r="H143" i="6" s="1"/>
  <c r="H144" i="6"/>
  <c r="H47" i="5"/>
  <c r="J47" i="5" s="1"/>
  <c r="J48" i="5"/>
  <c r="H210" i="5"/>
  <c r="J211" i="5"/>
  <c r="F600" i="6"/>
  <c r="H600" i="6" s="1"/>
  <c r="H601" i="6"/>
  <c r="F458" i="6"/>
  <c r="H458" i="6" s="1"/>
  <c r="H459" i="6"/>
  <c r="F169" i="6"/>
  <c r="F162" i="6" s="1"/>
  <c r="H170" i="6"/>
  <c r="F561" i="6"/>
  <c r="H561" i="6" s="1"/>
  <c r="H562" i="6"/>
  <c r="G211" i="4"/>
  <c r="G210" i="4" s="1"/>
  <c r="G207" i="4" s="1"/>
  <c r="I80" i="5"/>
  <c r="G464" i="6"/>
  <c r="I48" i="5"/>
  <c r="G13" i="6"/>
  <c r="G14" i="6"/>
  <c r="G18" i="6"/>
  <c r="G21" i="6"/>
  <c r="G22" i="6"/>
  <c r="G23" i="6"/>
  <c r="G24" i="6"/>
  <c r="G25" i="6"/>
  <c r="G29" i="6"/>
  <c r="G30" i="6"/>
  <c r="G35" i="6"/>
  <c r="G36" i="6"/>
  <c r="G39" i="6"/>
  <c r="G38" i="6" s="1"/>
  <c r="G41" i="6"/>
  <c r="G44" i="6"/>
  <c r="G47" i="6"/>
  <c r="G48" i="6"/>
  <c r="G49" i="6"/>
  <c r="G50" i="6"/>
  <c r="G53" i="6"/>
  <c r="G57" i="6"/>
  <c r="G58" i="6"/>
  <c r="G59" i="6"/>
  <c r="G62" i="6"/>
  <c r="G63" i="6"/>
  <c r="G64" i="6"/>
  <c r="G67" i="6"/>
  <c r="G69" i="6"/>
  <c r="G72" i="6"/>
  <c r="G76" i="6"/>
  <c r="G77" i="6"/>
  <c r="G80" i="6"/>
  <c r="G82" i="6"/>
  <c r="G83" i="6"/>
  <c r="G84" i="6"/>
  <c r="G87" i="6"/>
  <c r="G89" i="6"/>
  <c r="G91" i="6"/>
  <c r="G92" i="6"/>
  <c r="G96" i="6"/>
  <c r="G98" i="6"/>
  <c r="G99" i="6"/>
  <c r="G103" i="6"/>
  <c r="G110" i="6"/>
  <c r="G112" i="6"/>
  <c r="G113" i="6"/>
  <c r="G116" i="6"/>
  <c r="G118" i="6"/>
  <c r="G120" i="6"/>
  <c r="G121" i="6"/>
  <c r="G124" i="6"/>
  <c r="G126" i="6"/>
  <c r="G127" i="6"/>
  <c r="G131" i="6"/>
  <c r="G132" i="6"/>
  <c r="G134" i="6"/>
  <c r="G135" i="6"/>
  <c r="G136" i="6"/>
  <c r="G146" i="6"/>
  <c r="G147" i="6"/>
  <c r="G150" i="6"/>
  <c r="G152" i="6"/>
  <c r="G153" i="6"/>
  <c r="G155" i="6"/>
  <c r="G156" i="6"/>
  <c r="G160" i="6"/>
  <c r="G157" i="6" s="1"/>
  <c r="G166" i="6"/>
  <c r="G168" i="6"/>
  <c r="G172" i="6"/>
  <c r="G173" i="6"/>
  <c r="G174" i="6"/>
  <c r="G175" i="6"/>
  <c r="G177" i="6"/>
  <c r="G178" i="6"/>
  <c r="G180" i="6"/>
  <c r="G181" i="6"/>
  <c r="G183" i="6"/>
  <c r="G185" i="6"/>
  <c r="G188" i="6"/>
  <c r="G190" i="6"/>
  <c r="G194" i="6"/>
  <c r="G196" i="6"/>
  <c r="G202" i="6"/>
  <c r="G203" i="6"/>
  <c r="G204" i="6"/>
  <c r="G206" i="6"/>
  <c r="G209" i="6"/>
  <c r="G212" i="6"/>
  <c r="G216" i="6"/>
  <c r="G218" i="6"/>
  <c r="G220" i="6"/>
  <c r="G221" i="6"/>
  <c r="G224" i="6"/>
  <c r="G226" i="6"/>
  <c r="G229" i="6"/>
  <c r="G231" i="6"/>
  <c r="G232" i="6"/>
  <c r="G233" i="6"/>
  <c r="G235" i="6"/>
  <c r="G237" i="6"/>
  <c r="G238" i="6"/>
  <c r="G240" i="6"/>
  <c r="G241" i="6"/>
  <c r="G242" i="6"/>
  <c r="G244" i="6"/>
  <c r="G246" i="6"/>
  <c r="G247" i="6"/>
  <c r="G249" i="6"/>
  <c r="G256" i="6"/>
  <c r="G257" i="6"/>
  <c r="G258" i="6"/>
  <c r="G259" i="6"/>
  <c r="G260" i="6"/>
  <c r="G261" i="6"/>
  <c r="G264" i="6"/>
  <c r="G265" i="6"/>
  <c r="G266" i="6"/>
  <c r="G267" i="6"/>
  <c r="G270" i="6"/>
  <c r="G273" i="6"/>
  <c r="G275" i="6"/>
  <c r="G276" i="6"/>
  <c r="G278" i="6"/>
  <c r="G282" i="6"/>
  <c r="G285" i="6"/>
  <c r="G287" i="6"/>
  <c r="G288" i="6"/>
  <c r="G289" i="6"/>
  <c r="G290" i="6"/>
  <c r="G291" i="6"/>
  <c r="G292" i="6"/>
  <c r="G294" i="6"/>
  <c r="G296" i="6"/>
  <c r="G302" i="6"/>
  <c r="G303" i="6"/>
  <c r="G304" i="6"/>
  <c r="G306" i="6"/>
  <c r="G309" i="6"/>
  <c r="G317" i="6"/>
  <c r="G320" i="6"/>
  <c r="G348" i="6"/>
  <c r="G349" i="6"/>
  <c r="G351" i="6"/>
  <c r="G352" i="6"/>
  <c r="G353" i="6"/>
  <c r="G354" i="6"/>
  <c r="G355" i="6"/>
  <c r="G356" i="6"/>
  <c r="G357" i="6"/>
  <c r="G358" i="6"/>
  <c r="G359" i="6"/>
  <c r="G366" i="6"/>
  <c r="G367" i="6"/>
  <c r="G369" i="6"/>
  <c r="G373" i="6"/>
  <c r="G374" i="6"/>
  <c r="G375" i="6"/>
  <c r="G380" i="6"/>
  <c r="G381" i="6"/>
  <c r="G383" i="6"/>
  <c r="G386" i="6"/>
  <c r="G390" i="6"/>
  <c r="G392" i="6"/>
  <c r="G393" i="6"/>
  <c r="G395" i="6"/>
  <c r="G437" i="6"/>
  <c r="G439" i="6"/>
  <c r="G440" i="6"/>
  <c r="G443" i="6"/>
  <c r="G444" i="6"/>
  <c r="G445" i="6"/>
  <c r="G451" i="6"/>
  <c r="G452" i="6"/>
  <c r="G454" i="6"/>
  <c r="G455" i="6"/>
  <c r="G457" i="6"/>
  <c r="G462" i="6"/>
  <c r="G467" i="6"/>
  <c r="G469" i="6"/>
  <c r="G473" i="6"/>
  <c r="G480" i="6"/>
  <c r="G482" i="6"/>
  <c r="G485" i="6"/>
  <c r="G488" i="6"/>
  <c r="G490" i="6"/>
  <c r="G492" i="6"/>
  <c r="G499" i="6"/>
  <c r="G501" i="6"/>
  <c r="G504" i="6"/>
  <c r="G507" i="6"/>
  <c r="G509" i="6"/>
  <c r="G511" i="6"/>
  <c r="G518" i="6"/>
  <c r="G520" i="6"/>
  <c r="G523" i="6"/>
  <c r="G537" i="6"/>
  <c r="G540" i="6"/>
  <c r="G541" i="6"/>
  <c r="G544" i="6"/>
  <c r="G548" i="6"/>
  <c r="G550" i="6"/>
  <c r="G552" i="6"/>
  <c r="G554" i="6"/>
  <c r="G557" i="6"/>
  <c r="G559" i="6"/>
  <c r="G565" i="6"/>
  <c r="G566" i="6"/>
  <c r="G568" i="6"/>
  <c r="G570" i="6"/>
  <c r="G572" i="6"/>
  <c r="G574" i="6"/>
  <c r="G577" i="6"/>
  <c r="G583" i="6"/>
  <c r="G585" i="6"/>
  <c r="G587" i="6"/>
  <c r="G589" i="6"/>
  <c r="G591" i="6"/>
  <c r="G593" i="6"/>
  <c r="G594" i="6"/>
  <c r="G596" i="6"/>
  <c r="G599" i="6"/>
  <c r="G604" i="6"/>
  <c r="G606" i="6"/>
  <c r="G608" i="6"/>
  <c r="G614" i="6"/>
  <c r="G616" i="6"/>
  <c r="G618" i="6"/>
  <c r="I10" i="5"/>
  <c r="I64" i="5"/>
  <c r="I187" i="5"/>
  <c r="I191" i="5"/>
  <c r="I192" i="5"/>
  <c r="I200" i="5"/>
  <c r="I202" i="5"/>
  <c r="I203" i="5"/>
  <c r="I206" i="5"/>
  <c r="I215" i="5"/>
  <c r="I217" i="5"/>
  <c r="I239" i="5"/>
  <c r="I245" i="5"/>
  <c r="I252" i="5"/>
  <c r="I253" i="5"/>
  <c r="I270" i="5"/>
  <c r="I285" i="5"/>
  <c r="I287" i="5"/>
  <c r="I292" i="5"/>
  <c r="I293" i="5"/>
  <c r="I294" i="5"/>
  <c r="I299" i="5"/>
  <c r="I307" i="5"/>
  <c r="I312" i="5"/>
  <c r="I313" i="5"/>
  <c r="I314" i="5"/>
  <c r="I315" i="5"/>
  <c r="I318" i="5"/>
  <c r="I319" i="5"/>
  <c r="I320" i="5"/>
  <c r="I321" i="5"/>
  <c r="I324" i="5"/>
  <c r="I327" i="5"/>
  <c r="I329" i="5"/>
  <c r="I330" i="5"/>
  <c r="I334" i="5"/>
  <c r="I337" i="5"/>
  <c r="I341" i="5"/>
  <c r="I344" i="5"/>
  <c r="I345" i="5"/>
  <c r="I349" i="5"/>
  <c r="I351" i="5"/>
  <c r="I358" i="5"/>
  <c r="I379" i="5"/>
  <c r="I385" i="5"/>
  <c r="I389" i="5"/>
  <c r="I409" i="5"/>
  <c r="I411" i="5"/>
  <c r="I417" i="5"/>
  <c r="I424" i="5"/>
  <c r="I425" i="5"/>
  <c r="I427" i="5"/>
  <c r="I429" i="5"/>
  <c r="I430" i="5"/>
  <c r="I433" i="5"/>
  <c r="I434" i="5"/>
  <c r="I435" i="5"/>
  <c r="I437" i="5"/>
  <c r="I439" i="5"/>
  <c r="I440" i="5"/>
  <c r="I444" i="5"/>
  <c r="I452" i="5"/>
  <c r="I454" i="5"/>
  <c r="I462" i="5"/>
  <c r="I463" i="5"/>
  <c r="I464" i="5"/>
  <c r="I465" i="5"/>
  <c r="I474" i="5"/>
  <c r="I477" i="5"/>
  <c r="I481" i="5"/>
  <c r="I485" i="5"/>
  <c r="I490" i="5"/>
  <c r="F18" i="1"/>
  <c r="G37" i="2"/>
  <c r="G36" i="2" s="1"/>
  <c r="E37" i="2"/>
  <c r="E36" i="2" s="1"/>
  <c r="H62" i="1"/>
  <c r="J62" i="1" s="1"/>
  <c r="F62" i="1"/>
  <c r="I63" i="1"/>
  <c r="I64" i="1"/>
  <c r="I65" i="1"/>
  <c r="E17" i="2"/>
  <c r="E15" i="2" s="1"/>
  <c r="I20" i="1"/>
  <c r="I61" i="1"/>
  <c r="I68" i="1"/>
  <c r="I70" i="1"/>
  <c r="I74" i="1"/>
  <c r="I79" i="1"/>
  <c r="I80" i="1"/>
  <c r="I85" i="1"/>
  <c r="I90" i="1"/>
  <c r="I92" i="1"/>
  <c r="I43" i="1"/>
  <c r="I45" i="1"/>
  <c r="I48" i="1"/>
  <c r="I49" i="1"/>
  <c r="I52" i="1"/>
  <c r="I39" i="1"/>
  <c r="I21" i="1"/>
  <c r="I24" i="1"/>
  <c r="I27" i="1"/>
  <c r="I32" i="1"/>
  <c r="I33" i="1"/>
  <c r="I35" i="1"/>
  <c r="I12" i="1"/>
  <c r="I14" i="1"/>
  <c r="J210" i="5" l="1"/>
  <c r="H207" i="5"/>
  <c r="F669" i="6"/>
  <c r="D11" i="8"/>
  <c r="H531" i="6"/>
  <c r="H9" i="6"/>
  <c r="I56" i="1"/>
  <c r="J56" i="1"/>
  <c r="J17" i="1"/>
  <c r="J18" i="1"/>
  <c r="H495" i="6"/>
  <c r="H654" i="6"/>
  <c r="F36" i="11"/>
  <c r="H476" i="6"/>
  <c r="F578" i="6"/>
  <c r="H514" i="6"/>
  <c r="H533" i="6"/>
  <c r="I47" i="5"/>
  <c r="F512" i="6"/>
  <c r="H512" i="6" s="1"/>
  <c r="H513" i="6"/>
  <c r="F493" i="6"/>
  <c r="H494" i="6"/>
  <c r="H532" i="6"/>
  <c r="F33" i="11"/>
  <c r="H33" i="11" s="1"/>
  <c r="H360" i="6"/>
  <c r="F474" i="6"/>
  <c r="H474" i="6" s="1"/>
  <c r="H475" i="6"/>
  <c r="I210" i="5"/>
  <c r="H579" i="6"/>
  <c r="H169" i="6"/>
  <c r="I18" i="1"/>
  <c r="F17" i="1"/>
  <c r="I62" i="1"/>
  <c r="G46" i="2"/>
  <c r="E46" i="2"/>
  <c r="G45" i="2"/>
  <c r="E45" i="2"/>
  <c r="F42" i="1"/>
  <c r="F35" i="11" l="1"/>
  <c r="H35" i="11" s="1"/>
  <c r="H36" i="11"/>
  <c r="H493" i="6"/>
  <c r="I493" i="6"/>
  <c r="H609" i="6"/>
  <c r="H578" i="6"/>
  <c r="F560" i="6"/>
  <c r="H560" i="6" s="1"/>
  <c r="H669" i="6"/>
  <c r="H162" i="6"/>
  <c r="D239" i="6"/>
  <c r="G239" i="6" s="1"/>
  <c r="D230" i="6"/>
  <c r="D227" i="6"/>
  <c r="G463" i="6"/>
  <c r="G453" i="6"/>
  <c r="D122" i="6"/>
  <c r="G122" i="6" s="1"/>
  <c r="D137" i="6"/>
  <c r="D26" i="6"/>
  <c r="H60" i="6" l="1"/>
  <c r="H230" i="6"/>
  <c r="H227" i="6"/>
  <c r="F228" i="6"/>
  <c r="H228" i="6" s="1"/>
  <c r="H56" i="6"/>
  <c r="G137" i="6"/>
  <c r="H54" i="6" l="1"/>
  <c r="F225" i="6"/>
  <c r="F222" i="6" s="1"/>
  <c r="F213" i="6" s="1"/>
  <c r="F198" i="6" s="1"/>
  <c r="G227" i="6"/>
  <c r="G230" i="6"/>
  <c r="D114" i="6"/>
  <c r="D94" i="6"/>
  <c r="D85" i="6"/>
  <c r="D78" i="6"/>
  <c r="D73" i="6"/>
  <c r="D71" i="6" s="1"/>
  <c r="D65" i="6"/>
  <c r="D60" i="6"/>
  <c r="D55" i="6"/>
  <c r="D51" i="6"/>
  <c r="D42" i="6"/>
  <c r="G42" i="6" s="1"/>
  <c r="D37" i="6"/>
  <c r="G12" i="6"/>
  <c r="H225" i="6" l="1"/>
  <c r="F52" i="6"/>
  <c r="G54" i="6"/>
  <c r="G51" i="6"/>
  <c r="G60" i="6"/>
  <c r="G73" i="6"/>
  <c r="G100" i="6"/>
  <c r="G26" i="6"/>
  <c r="G65" i="6"/>
  <c r="G114" i="6"/>
  <c r="G55" i="6"/>
  <c r="G78" i="6"/>
  <c r="G94" i="6"/>
  <c r="G85" i="6"/>
  <c r="G37" i="6"/>
  <c r="G34" i="6" s="1"/>
  <c r="G197" i="4"/>
  <c r="F45" i="6" l="1"/>
  <c r="F32" i="6" s="1"/>
  <c r="H52" i="6"/>
  <c r="H222" i="6"/>
  <c r="G71" i="6"/>
  <c r="F399" i="5"/>
  <c r="H397" i="5"/>
  <c r="J397" i="5" s="1"/>
  <c r="F396" i="5"/>
  <c r="J377" i="5"/>
  <c r="J375" i="5"/>
  <c r="H367" i="5"/>
  <c r="J367" i="5" s="1"/>
  <c r="F367" i="5"/>
  <c r="F366" i="5" s="1"/>
  <c r="F365" i="5" s="1"/>
  <c r="H363" i="5"/>
  <c r="J363" i="5" s="1"/>
  <c r="H364" i="5"/>
  <c r="J364" i="5" s="1"/>
  <c r="F364" i="5"/>
  <c r="F363" i="5"/>
  <c r="H360" i="5"/>
  <c r="J360" i="5" s="1"/>
  <c r="F360" i="5"/>
  <c r="J357" i="5"/>
  <c r="H289" i="5"/>
  <c r="J289" i="5" s="1"/>
  <c r="H290" i="5"/>
  <c r="J290" i="5" s="1"/>
  <c r="H291" i="5"/>
  <c r="J291" i="5" s="1"/>
  <c r="H309" i="5"/>
  <c r="J309" i="5" s="1"/>
  <c r="H311" i="5"/>
  <c r="J311" i="5" s="1"/>
  <c r="H301" i="5"/>
  <c r="J301" i="5" s="1"/>
  <c r="H296" i="5"/>
  <c r="J296" i="5" s="1"/>
  <c r="H298" i="5"/>
  <c r="J298" i="5" s="1"/>
  <c r="H347" i="5"/>
  <c r="J347" i="5" s="1"/>
  <c r="H343" i="5"/>
  <c r="J343" i="5" s="1"/>
  <c r="H340" i="5"/>
  <c r="J340" i="5" s="1"/>
  <c r="F347" i="5"/>
  <c r="F346" i="5" s="1"/>
  <c r="F343" i="5"/>
  <c r="F342" i="5" s="1"/>
  <c r="F340" i="5"/>
  <c r="F339" i="5" s="1"/>
  <c r="J371" i="5" l="1"/>
  <c r="H396" i="5"/>
  <c r="H390" i="5" s="1"/>
  <c r="H213" i="6"/>
  <c r="H45" i="6"/>
  <c r="F369" i="5"/>
  <c r="I377" i="5"/>
  <c r="I401" i="5"/>
  <c r="I371" i="5"/>
  <c r="H297" i="5"/>
  <c r="J297" i="5" s="1"/>
  <c r="H308" i="5"/>
  <c r="J308" i="5" s="1"/>
  <c r="H295" i="5"/>
  <c r="J295" i="5" s="1"/>
  <c r="H346" i="5"/>
  <c r="I347" i="5"/>
  <c r="H342" i="5"/>
  <c r="I343" i="5"/>
  <c r="H339" i="5"/>
  <c r="I340" i="5"/>
  <c r="H310" i="5"/>
  <c r="J310" i="5" s="1"/>
  <c r="H300" i="5"/>
  <c r="J300" i="5" s="1"/>
  <c r="I360" i="5"/>
  <c r="H359" i="5"/>
  <c r="J359" i="5" s="1"/>
  <c r="I357" i="5"/>
  <c r="H356" i="5"/>
  <c r="J356" i="5" s="1"/>
  <c r="I363" i="5"/>
  <c r="I364" i="5"/>
  <c r="H366" i="5"/>
  <c r="I367" i="5"/>
  <c r="I375" i="5"/>
  <c r="I397" i="5"/>
  <c r="H362" i="5"/>
  <c r="J362" i="5" s="1"/>
  <c r="F362" i="5"/>
  <c r="F361" i="5" s="1"/>
  <c r="F338" i="5"/>
  <c r="H288" i="5"/>
  <c r="J288" i="5" s="1"/>
  <c r="F8" i="6" l="1"/>
  <c r="J396" i="5"/>
  <c r="I346" i="5"/>
  <c r="J346" i="5"/>
  <c r="I366" i="5"/>
  <c r="J366" i="5"/>
  <c r="I342" i="5"/>
  <c r="J342" i="5"/>
  <c r="I339" i="5"/>
  <c r="J339" i="5"/>
  <c r="H32" i="6"/>
  <c r="I399" i="5"/>
  <c r="F197" i="6"/>
  <c r="H198" i="6"/>
  <c r="H306" i="5"/>
  <c r="J306" i="5" s="1"/>
  <c r="H338" i="5"/>
  <c r="H286" i="5"/>
  <c r="J286" i="5" s="1"/>
  <c r="H355" i="5"/>
  <c r="J355" i="5" s="1"/>
  <c r="I362" i="5"/>
  <c r="H361" i="5"/>
  <c r="I396" i="5"/>
  <c r="F311" i="5"/>
  <c r="F309" i="5"/>
  <c r="F301" i="5"/>
  <c r="F298" i="5"/>
  <c r="I298" i="5" s="1"/>
  <c r="F296" i="5"/>
  <c r="F291" i="5"/>
  <c r="I291" i="5" s="1"/>
  <c r="F290" i="5"/>
  <c r="I290" i="5" s="1"/>
  <c r="F289" i="5"/>
  <c r="I289" i="5" s="1"/>
  <c r="F7" i="6" l="1"/>
  <c r="I390" i="5"/>
  <c r="J390" i="5"/>
  <c r="I361" i="5"/>
  <c r="J361" i="5"/>
  <c r="I338" i="5"/>
  <c r="J338" i="5"/>
  <c r="F28" i="11"/>
  <c r="H197" i="6"/>
  <c r="H8" i="6"/>
  <c r="F300" i="5"/>
  <c r="I300" i="5" s="1"/>
  <c r="I301" i="5"/>
  <c r="F308" i="5"/>
  <c r="I308" i="5" s="1"/>
  <c r="I309" i="5"/>
  <c r="F295" i="5"/>
  <c r="I295" i="5" s="1"/>
  <c r="I296" i="5"/>
  <c r="F310" i="5"/>
  <c r="I310" i="5" s="1"/>
  <c r="I311" i="5"/>
  <c r="F288" i="5"/>
  <c r="I288" i="5" s="1"/>
  <c r="H283" i="5"/>
  <c r="J283" i="5" s="1"/>
  <c r="F283" i="5"/>
  <c r="F282" i="5" s="1"/>
  <c r="H281" i="5"/>
  <c r="J281" i="5" s="1"/>
  <c r="F281" i="5"/>
  <c r="F280" i="5" s="1"/>
  <c r="H279" i="5"/>
  <c r="J279" i="5" s="1"/>
  <c r="F279" i="5"/>
  <c r="H276" i="5"/>
  <c r="J276" i="5" s="1"/>
  <c r="F276" i="5"/>
  <c r="H278" i="5"/>
  <c r="J278" i="5" s="1"/>
  <c r="F278" i="5"/>
  <c r="H275" i="5"/>
  <c r="J275" i="5" s="1"/>
  <c r="F275" i="5"/>
  <c r="H273" i="5"/>
  <c r="J273" i="5" s="1"/>
  <c r="F273" i="5"/>
  <c r="F272" i="5" s="1"/>
  <c r="H284" i="5"/>
  <c r="J284" i="5" s="1"/>
  <c r="F284" i="5"/>
  <c r="H269" i="5"/>
  <c r="J269" i="5" s="1"/>
  <c r="F269" i="5"/>
  <c r="F268" i="5" s="1"/>
  <c r="H267" i="5"/>
  <c r="J267" i="5" s="1"/>
  <c r="F267" i="5"/>
  <c r="F266" i="5" s="1"/>
  <c r="H265" i="5"/>
  <c r="J265" i="5" s="1"/>
  <c r="F265" i="5"/>
  <c r="F264" i="5" s="1"/>
  <c r="H261" i="5"/>
  <c r="J261" i="5" s="1"/>
  <c r="F261" i="5"/>
  <c r="F260" i="5" s="1"/>
  <c r="F259" i="5" s="1"/>
  <c r="H258" i="5"/>
  <c r="J258" i="5" s="1"/>
  <c r="F258" i="5"/>
  <c r="F257" i="5" s="1"/>
  <c r="F256" i="5" s="1"/>
  <c r="H255" i="5"/>
  <c r="J255" i="5" s="1"/>
  <c r="F255" i="5"/>
  <c r="F254" i="5" s="1"/>
  <c r="H251" i="5"/>
  <c r="J251" i="5" s="1"/>
  <c r="F251" i="5"/>
  <c r="F250" i="5" s="1"/>
  <c r="J488" i="5"/>
  <c r="F488" i="5"/>
  <c r="F487" i="5" s="1"/>
  <c r="F486" i="5" s="1"/>
  <c r="H451" i="5"/>
  <c r="H449" i="5" s="1"/>
  <c r="H448" i="5" s="1"/>
  <c r="H447" i="5" s="1"/>
  <c r="H446" i="5" s="1"/>
  <c r="F451" i="5"/>
  <c r="F449" i="5" s="1"/>
  <c r="F448" i="5" s="1"/>
  <c r="F447" i="5" s="1"/>
  <c r="F446" i="5" s="1"/>
  <c r="H205" i="5"/>
  <c r="J205" i="5" s="1"/>
  <c r="F199" i="5"/>
  <c r="H126" i="5"/>
  <c r="J126" i="5" s="1"/>
  <c r="H127" i="5"/>
  <c r="J127" i="5" s="1"/>
  <c r="H128" i="5"/>
  <c r="J128" i="5" s="1"/>
  <c r="H7" i="6" l="1"/>
  <c r="F27" i="11"/>
  <c r="H27" i="11" s="1"/>
  <c r="H28" i="11"/>
  <c r="F30" i="11"/>
  <c r="J449" i="5"/>
  <c r="J451" i="5"/>
  <c r="I284" i="5"/>
  <c r="I275" i="5"/>
  <c r="I276" i="5"/>
  <c r="F306" i="5"/>
  <c r="I306" i="5" s="1"/>
  <c r="G206" i="4"/>
  <c r="I278" i="5"/>
  <c r="I279" i="5"/>
  <c r="I451" i="5"/>
  <c r="H268" i="5"/>
  <c r="I269" i="5"/>
  <c r="H266" i="5"/>
  <c r="I267" i="5"/>
  <c r="H264" i="5"/>
  <c r="I265" i="5"/>
  <c r="H260" i="5"/>
  <c r="J260" i="5" s="1"/>
  <c r="I261" i="5"/>
  <c r="H257" i="5"/>
  <c r="I258" i="5"/>
  <c r="H254" i="5"/>
  <c r="J254" i="5" s="1"/>
  <c r="I255" i="5"/>
  <c r="H250" i="5"/>
  <c r="I251" i="5"/>
  <c r="H487" i="5"/>
  <c r="J487" i="5" s="1"/>
  <c r="I488" i="5"/>
  <c r="H282" i="5"/>
  <c r="I283" i="5"/>
  <c r="H280" i="5"/>
  <c r="I281" i="5"/>
  <c r="H272" i="5"/>
  <c r="I273" i="5"/>
  <c r="F263" i="5"/>
  <c r="H277" i="5"/>
  <c r="J277" i="5" s="1"/>
  <c r="H274" i="5"/>
  <c r="J274" i="5" s="1"/>
  <c r="F277" i="5"/>
  <c r="F274" i="5"/>
  <c r="H125" i="5"/>
  <c r="J125" i="5" s="1"/>
  <c r="F249" i="5"/>
  <c r="H62" i="5"/>
  <c r="J62" i="5" s="1"/>
  <c r="H148" i="5"/>
  <c r="G148" i="4" s="1"/>
  <c r="H149" i="5"/>
  <c r="J149" i="5" s="1"/>
  <c r="H150" i="5"/>
  <c r="G150" i="4" s="1"/>
  <c r="F150" i="5"/>
  <c r="E150" i="4" s="1"/>
  <c r="F149" i="5"/>
  <c r="E149" i="4" s="1"/>
  <c r="F148" i="5"/>
  <c r="E148" i="4" s="1"/>
  <c r="F29" i="11" l="1"/>
  <c r="H29" i="11" s="1"/>
  <c r="H30" i="11"/>
  <c r="J150" i="5"/>
  <c r="J148" i="5"/>
  <c r="I280" i="5"/>
  <c r="J280" i="5"/>
  <c r="I272" i="5"/>
  <c r="J272" i="5"/>
  <c r="I282" i="5"/>
  <c r="J282" i="5"/>
  <c r="I250" i="5"/>
  <c r="J250" i="5"/>
  <c r="I257" i="5"/>
  <c r="J257" i="5"/>
  <c r="I264" i="5"/>
  <c r="J264" i="5"/>
  <c r="I268" i="5"/>
  <c r="J268" i="5"/>
  <c r="I254" i="5"/>
  <c r="I266" i="5"/>
  <c r="J266" i="5"/>
  <c r="H249" i="5"/>
  <c r="I274" i="5"/>
  <c r="I150" i="5"/>
  <c r="G149" i="4"/>
  <c r="I149" i="5"/>
  <c r="I277" i="5"/>
  <c r="I148" i="5"/>
  <c r="I449" i="5"/>
  <c r="H263" i="5"/>
  <c r="H259" i="5"/>
  <c r="I260" i="5"/>
  <c r="H486" i="5"/>
  <c r="I487" i="5"/>
  <c r="H271" i="5"/>
  <c r="J271" i="5" s="1"/>
  <c r="F271" i="5"/>
  <c r="F147" i="5"/>
  <c r="H147" i="5"/>
  <c r="J147" i="5" s="1"/>
  <c r="H243" i="5"/>
  <c r="J243" i="5" s="1"/>
  <c r="F243" i="5"/>
  <c r="F242" i="5" s="1"/>
  <c r="F241" i="5" s="1"/>
  <c r="H237" i="5"/>
  <c r="J237" i="5" s="1"/>
  <c r="F237" i="5"/>
  <c r="H234" i="5"/>
  <c r="J234" i="5" s="1"/>
  <c r="F234" i="5"/>
  <c r="H232" i="5"/>
  <c r="J232" i="5" s="1"/>
  <c r="F232" i="5"/>
  <c r="F231" i="5" s="1"/>
  <c r="H229" i="5"/>
  <c r="J229" i="5" s="1"/>
  <c r="H230" i="5"/>
  <c r="J230" i="5" s="1"/>
  <c r="F230" i="5"/>
  <c r="E232" i="4" s="1"/>
  <c r="F229" i="5"/>
  <c r="H226" i="5"/>
  <c r="H227" i="5"/>
  <c r="J227" i="5" s="1"/>
  <c r="F227" i="5"/>
  <c r="E229" i="4" s="1"/>
  <c r="F226" i="5"/>
  <c r="E228" i="4" s="1"/>
  <c r="H204" i="5"/>
  <c r="J204" i="5" s="1"/>
  <c r="H199" i="5"/>
  <c r="F205" i="5"/>
  <c r="D145" i="6"/>
  <c r="D144" i="6" s="1"/>
  <c r="F197" i="5"/>
  <c r="E198" i="4" s="1"/>
  <c r="F196" i="5"/>
  <c r="H197" i="5"/>
  <c r="J197" i="5" s="1"/>
  <c r="H183" i="5"/>
  <c r="J183" i="5" s="1"/>
  <c r="H184" i="5"/>
  <c r="J184" i="5" s="1"/>
  <c r="H185" i="5"/>
  <c r="J185" i="5" s="1"/>
  <c r="H186" i="5"/>
  <c r="J186" i="5" s="1"/>
  <c r="F186" i="5"/>
  <c r="E187" i="4" s="1"/>
  <c r="F185" i="5"/>
  <c r="E186" i="4" s="1"/>
  <c r="F184" i="5"/>
  <c r="E185" i="4" s="1"/>
  <c r="F183" i="5"/>
  <c r="E184" i="4" s="1"/>
  <c r="F181" i="5"/>
  <c r="H176" i="5"/>
  <c r="J176" i="5" s="1"/>
  <c r="H177" i="5"/>
  <c r="G177" i="4" s="1"/>
  <c r="F177" i="5"/>
  <c r="E177" i="4" s="1"/>
  <c r="F176" i="5"/>
  <c r="E176" i="4" s="1"/>
  <c r="H174" i="5"/>
  <c r="J174" i="5" s="1"/>
  <c r="F174" i="5"/>
  <c r="H170" i="5"/>
  <c r="J170" i="5" s="1"/>
  <c r="H171" i="5"/>
  <c r="J171" i="5" s="1"/>
  <c r="H172" i="5"/>
  <c r="J172" i="5" s="1"/>
  <c r="F172" i="5"/>
  <c r="E172" i="4" s="1"/>
  <c r="F171" i="5"/>
  <c r="E171" i="4" s="1"/>
  <c r="F170" i="5"/>
  <c r="E170" i="4" s="1"/>
  <c r="H168" i="5"/>
  <c r="J168" i="5" s="1"/>
  <c r="F168" i="5"/>
  <c r="H166" i="5"/>
  <c r="G166" i="4" s="1"/>
  <c r="F166" i="5"/>
  <c r="E166" i="4" s="1"/>
  <c r="H162" i="5"/>
  <c r="H163" i="5"/>
  <c r="J163" i="5" s="1"/>
  <c r="H164" i="5"/>
  <c r="G164" i="4" s="1"/>
  <c r="F164" i="5"/>
  <c r="E164" i="4" s="1"/>
  <c r="F163" i="5"/>
  <c r="E163" i="4" s="1"/>
  <c r="F162" i="5"/>
  <c r="E162" i="4" s="1"/>
  <c r="H160" i="5"/>
  <c r="J160" i="5" s="1"/>
  <c r="F160" i="5"/>
  <c r="F153" i="5"/>
  <c r="E153" i="4" s="1"/>
  <c r="H153" i="5"/>
  <c r="J153" i="5" s="1"/>
  <c r="H146" i="5"/>
  <c r="J146" i="5" s="1"/>
  <c r="F146" i="5"/>
  <c r="F145" i="5" s="1"/>
  <c r="H141" i="5"/>
  <c r="J141" i="5" s="1"/>
  <c r="H142" i="5"/>
  <c r="J142" i="5" s="1"/>
  <c r="H144" i="5"/>
  <c r="G144" i="4" s="1"/>
  <c r="F144" i="5"/>
  <c r="E144" i="4" s="1"/>
  <c r="F142" i="5"/>
  <c r="E142" i="4" s="1"/>
  <c r="F141" i="5"/>
  <c r="E141" i="4" s="1"/>
  <c r="H139" i="5"/>
  <c r="G139" i="4" s="1"/>
  <c r="F139" i="5"/>
  <c r="E139" i="4" s="1"/>
  <c r="H137" i="5"/>
  <c r="J137" i="5" s="1"/>
  <c r="F137" i="5"/>
  <c r="H132" i="5"/>
  <c r="J132" i="5" s="1"/>
  <c r="H133" i="5"/>
  <c r="J133" i="5" s="1"/>
  <c r="H134" i="5"/>
  <c r="J134" i="5" s="1"/>
  <c r="H135" i="5"/>
  <c r="J135" i="5" s="1"/>
  <c r="F135" i="5"/>
  <c r="E135" i="4" s="1"/>
  <c r="F134" i="5"/>
  <c r="E134" i="4" s="1"/>
  <c r="F133" i="5"/>
  <c r="E133" i="4" s="1"/>
  <c r="F132" i="5"/>
  <c r="E132" i="4" s="1"/>
  <c r="H130" i="5"/>
  <c r="J130" i="5" s="1"/>
  <c r="F130" i="5"/>
  <c r="F128" i="5"/>
  <c r="I128" i="5" s="1"/>
  <c r="F127" i="5"/>
  <c r="I127" i="5" s="1"/>
  <c r="F126" i="5"/>
  <c r="H123" i="5"/>
  <c r="F123" i="5"/>
  <c r="E123" i="4" s="1"/>
  <c r="F122" i="5"/>
  <c r="E122" i="4" s="1"/>
  <c r="H122" i="5"/>
  <c r="G122" i="4" s="1"/>
  <c r="H119" i="5"/>
  <c r="J119" i="5" s="1"/>
  <c r="F119" i="5"/>
  <c r="H117" i="5"/>
  <c r="J117" i="5" s="1"/>
  <c r="F117" i="5"/>
  <c r="H112" i="5"/>
  <c r="G112" i="4" s="1"/>
  <c r="H113" i="5"/>
  <c r="H114" i="5"/>
  <c r="H115" i="5"/>
  <c r="F115" i="5"/>
  <c r="E115" i="4" s="1"/>
  <c r="F114" i="5"/>
  <c r="E114" i="4" s="1"/>
  <c r="F113" i="5"/>
  <c r="E113" i="4" s="1"/>
  <c r="F112" i="5"/>
  <c r="E112" i="4" s="1"/>
  <c r="H103" i="5"/>
  <c r="G103" i="4" s="1"/>
  <c r="H104" i="5"/>
  <c r="J104" i="5" s="1"/>
  <c r="H107" i="5"/>
  <c r="G107" i="4" s="1"/>
  <c r="H108" i="5"/>
  <c r="J108" i="5" s="1"/>
  <c r="H109" i="5"/>
  <c r="G109" i="4" s="1"/>
  <c r="H110" i="5"/>
  <c r="F110" i="5"/>
  <c r="E110" i="4" s="1"/>
  <c r="F109" i="5"/>
  <c r="E109" i="4" s="1"/>
  <c r="F108" i="5"/>
  <c r="E108" i="4" s="1"/>
  <c r="F107" i="5"/>
  <c r="E107" i="4" s="1"/>
  <c r="F105" i="5"/>
  <c r="E105" i="4" s="1"/>
  <c r="F104" i="5"/>
  <c r="E104" i="4" s="1"/>
  <c r="F103" i="5"/>
  <c r="E103" i="4" s="1"/>
  <c r="H97" i="5"/>
  <c r="G97" i="4" s="1"/>
  <c r="H98" i="5"/>
  <c r="J98" i="5" s="1"/>
  <c r="H99" i="5"/>
  <c r="G99" i="4" s="1"/>
  <c r="H100" i="5"/>
  <c r="J100" i="5" s="1"/>
  <c r="H101" i="5"/>
  <c r="F101" i="5"/>
  <c r="E101" i="4" s="1"/>
  <c r="F100" i="5"/>
  <c r="E100" i="4" s="1"/>
  <c r="F99" i="5"/>
  <c r="E99" i="4" s="1"/>
  <c r="F98" i="5"/>
  <c r="E98" i="4" s="1"/>
  <c r="F97" i="5"/>
  <c r="E97" i="4" s="1"/>
  <c r="H94" i="5"/>
  <c r="J94" i="5" s="1"/>
  <c r="F94" i="5"/>
  <c r="H91" i="5"/>
  <c r="J91" i="5" s="1"/>
  <c r="H92" i="5"/>
  <c r="J92" i="5" s="1"/>
  <c r="F92" i="5"/>
  <c r="E92" i="4" s="1"/>
  <c r="F91" i="5"/>
  <c r="E91" i="4" s="1"/>
  <c r="H85" i="5"/>
  <c r="H86" i="5"/>
  <c r="H89" i="5"/>
  <c r="J89" i="5" s="1"/>
  <c r="F89" i="5"/>
  <c r="F87" i="5"/>
  <c r="E87" i="4" s="1"/>
  <c r="F86" i="5"/>
  <c r="E86" i="4" s="1"/>
  <c r="F85" i="5"/>
  <c r="E85" i="4" s="1"/>
  <c r="F79" i="5"/>
  <c r="F78" i="5" s="1"/>
  <c r="F77" i="5" s="1"/>
  <c r="H71" i="5"/>
  <c r="J71" i="5" s="1"/>
  <c r="H72" i="5"/>
  <c r="J72" i="5" s="1"/>
  <c r="H73" i="5"/>
  <c r="J73" i="5" s="1"/>
  <c r="H74" i="5"/>
  <c r="J74" i="5" s="1"/>
  <c r="H75" i="5"/>
  <c r="J75" i="5" s="1"/>
  <c r="H76" i="5"/>
  <c r="J76" i="5" s="1"/>
  <c r="F76" i="5"/>
  <c r="E75" i="4" s="1"/>
  <c r="F75" i="5"/>
  <c r="E74" i="4" s="1"/>
  <c r="F74" i="5"/>
  <c r="E73" i="4" s="1"/>
  <c r="F73" i="5"/>
  <c r="E72" i="4" s="1"/>
  <c r="F72" i="5"/>
  <c r="E71" i="4" s="1"/>
  <c r="F71" i="5"/>
  <c r="E70" i="4" s="1"/>
  <c r="F68" i="5"/>
  <c r="H66" i="5"/>
  <c r="J66" i="5" s="1"/>
  <c r="F66" i="5"/>
  <c r="H63" i="5"/>
  <c r="J63" i="5" s="1"/>
  <c r="F63" i="5"/>
  <c r="E62" i="4" s="1"/>
  <c r="F62" i="5"/>
  <c r="I62" i="5" s="1"/>
  <c r="H56" i="5"/>
  <c r="F56" i="5"/>
  <c r="H52" i="5"/>
  <c r="J52" i="5" s="1"/>
  <c r="F52" i="5"/>
  <c r="H50" i="5"/>
  <c r="F50" i="5"/>
  <c r="E231" i="4" s="1"/>
  <c r="H45" i="5"/>
  <c r="H46" i="5"/>
  <c r="F46" i="5"/>
  <c r="E224" i="4" s="1"/>
  <c r="F45" i="5"/>
  <c r="E223" i="4" s="1"/>
  <c r="H36" i="5"/>
  <c r="F36" i="5"/>
  <c r="H30" i="5"/>
  <c r="H31" i="5"/>
  <c r="J31" i="5" s="1"/>
  <c r="H32" i="5"/>
  <c r="J32" i="5" s="1"/>
  <c r="F32" i="5"/>
  <c r="F31" i="5"/>
  <c r="F30" i="5"/>
  <c r="J18" i="5"/>
  <c r="F18" i="5"/>
  <c r="H15" i="5"/>
  <c r="F15" i="5"/>
  <c r="D484" i="6"/>
  <c r="D483" i="6" s="1"/>
  <c r="D479" i="6"/>
  <c r="D478" i="6" s="1"/>
  <c r="J36" i="5" l="1"/>
  <c r="I36" i="5"/>
  <c r="G85" i="4"/>
  <c r="E126" i="4"/>
  <c r="J123" i="5"/>
  <c r="G123" i="4"/>
  <c r="J122" i="5"/>
  <c r="J115" i="5"/>
  <c r="G115" i="4"/>
  <c r="J114" i="5"/>
  <c r="G114" i="4"/>
  <c r="J113" i="5"/>
  <c r="G113" i="4"/>
  <c r="J86" i="5"/>
  <c r="G86" i="4"/>
  <c r="H262" i="5"/>
  <c r="J262" i="5" s="1"/>
  <c r="J101" i="5"/>
  <c r="G101" i="4"/>
  <c r="E245" i="4"/>
  <c r="J30" i="5"/>
  <c r="G126" i="4"/>
  <c r="J56" i="5"/>
  <c r="G245" i="4"/>
  <c r="J177" i="5"/>
  <c r="J166" i="5"/>
  <c r="J164" i="5"/>
  <c r="J144" i="5"/>
  <c r="J139" i="5"/>
  <c r="J109" i="5"/>
  <c r="J107" i="5"/>
  <c r="J103" i="5"/>
  <c r="J99" i="5"/>
  <c r="J97" i="5"/>
  <c r="J112" i="5"/>
  <c r="J50" i="5"/>
  <c r="G231" i="4"/>
  <c r="J110" i="5"/>
  <c r="G110" i="4"/>
  <c r="J162" i="5"/>
  <c r="G162" i="4"/>
  <c r="I199" i="5"/>
  <c r="J199" i="5"/>
  <c r="I448" i="5"/>
  <c r="J448" i="5"/>
  <c r="I263" i="5"/>
  <c r="J263" i="5"/>
  <c r="G224" i="4"/>
  <c r="J46" i="5"/>
  <c r="G223" i="4"/>
  <c r="J45" i="5"/>
  <c r="J85" i="5"/>
  <c r="I259" i="5"/>
  <c r="J259" i="5"/>
  <c r="I249" i="5"/>
  <c r="J249" i="5"/>
  <c r="G61" i="4"/>
  <c r="J15" i="5"/>
  <c r="I486" i="5"/>
  <c r="J486" i="5"/>
  <c r="G228" i="4"/>
  <c r="J226" i="5"/>
  <c r="H140" i="5"/>
  <c r="J140" i="5" s="1"/>
  <c r="E140" i="4"/>
  <c r="F140" i="5"/>
  <c r="I123" i="5"/>
  <c r="E227" i="4"/>
  <c r="E121" i="4"/>
  <c r="F121" i="5"/>
  <c r="H121" i="5"/>
  <c r="J121" i="5" s="1"/>
  <c r="E222" i="4"/>
  <c r="G479" i="6"/>
  <c r="E234" i="4"/>
  <c r="E61" i="4"/>
  <c r="E60" i="4" s="1"/>
  <c r="I63" i="5"/>
  <c r="I112" i="5"/>
  <c r="H118" i="5"/>
  <c r="J118" i="5" s="1"/>
  <c r="I119" i="5"/>
  <c r="G119" i="4"/>
  <c r="F129" i="5"/>
  <c r="E130" i="4"/>
  <c r="G133" i="4"/>
  <c r="I133" i="5"/>
  <c r="F165" i="5"/>
  <c r="H236" i="5"/>
  <c r="J236" i="5" s="1"/>
  <c r="I237" i="5"/>
  <c r="G239" i="4"/>
  <c r="I50" i="5"/>
  <c r="H55" i="5"/>
  <c r="J55" i="5" s="1"/>
  <c r="I56" i="5"/>
  <c r="F65" i="5"/>
  <c r="E65" i="4"/>
  <c r="G72" i="4"/>
  <c r="I73" i="5"/>
  <c r="H88" i="5"/>
  <c r="J88" i="5" s="1"/>
  <c r="I89" i="5"/>
  <c r="G89" i="4"/>
  <c r="H93" i="5"/>
  <c r="J93" i="5" s="1"/>
  <c r="I94" i="5"/>
  <c r="G94" i="4"/>
  <c r="I99" i="5"/>
  <c r="G108" i="4"/>
  <c r="I108" i="5"/>
  <c r="I115" i="5"/>
  <c r="F116" i="5"/>
  <c r="E117" i="4"/>
  <c r="I122" i="5"/>
  <c r="I126" i="5"/>
  <c r="H129" i="5"/>
  <c r="J129" i="5" s="1"/>
  <c r="I130" i="5"/>
  <c r="G130" i="4"/>
  <c r="G132" i="4"/>
  <c r="I132" i="5"/>
  <c r="H138" i="5"/>
  <c r="J138" i="5" s="1"/>
  <c r="I139" i="5"/>
  <c r="I144" i="5"/>
  <c r="H145" i="5"/>
  <c r="I146" i="5"/>
  <c r="H159" i="5"/>
  <c r="J159" i="5" s="1"/>
  <c r="I160" i="5"/>
  <c r="G160" i="4"/>
  <c r="I164" i="5"/>
  <c r="H165" i="5"/>
  <c r="I166" i="5"/>
  <c r="G170" i="4"/>
  <c r="I170" i="5"/>
  <c r="G187" i="4"/>
  <c r="I186" i="5"/>
  <c r="H195" i="5"/>
  <c r="J195" i="5" s="1"/>
  <c r="I197" i="5"/>
  <c r="G198" i="4"/>
  <c r="G145" i="6"/>
  <c r="G229" i="4"/>
  <c r="I227" i="5"/>
  <c r="G232" i="4"/>
  <c r="I230" i="5"/>
  <c r="F233" i="5"/>
  <c r="E236" i="4"/>
  <c r="F88" i="5"/>
  <c r="E89" i="4"/>
  <c r="F93" i="5"/>
  <c r="E94" i="4"/>
  <c r="G100" i="4"/>
  <c r="I100" i="5"/>
  <c r="I103" i="5"/>
  <c r="F138" i="5"/>
  <c r="F159" i="5"/>
  <c r="E160" i="4"/>
  <c r="H201" i="5"/>
  <c r="J201" i="5" s="1"/>
  <c r="E79" i="4"/>
  <c r="E146" i="4"/>
  <c r="I66" i="5"/>
  <c r="H65" i="5"/>
  <c r="J65" i="5" s="1"/>
  <c r="G65" i="4"/>
  <c r="G64" i="4" s="1"/>
  <c r="I76" i="5"/>
  <c r="G75" i="4"/>
  <c r="G71" i="4"/>
  <c r="I72" i="5"/>
  <c r="I86" i="5"/>
  <c r="G92" i="4"/>
  <c r="I92" i="5"/>
  <c r="G98" i="4"/>
  <c r="I98" i="5"/>
  <c r="I107" i="5"/>
  <c r="I114" i="5"/>
  <c r="H116" i="5"/>
  <c r="J116" i="5" s="1"/>
  <c r="I117" i="5"/>
  <c r="G117" i="4"/>
  <c r="G135" i="4"/>
  <c r="I135" i="5"/>
  <c r="F136" i="5"/>
  <c r="E137" i="4"/>
  <c r="G142" i="4"/>
  <c r="I142" i="5"/>
  <c r="H152" i="5"/>
  <c r="J152" i="5" s="1"/>
  <c r="I153" i="5"/>
  <c r="G153" i="4"/>
  <c r="G163" i="4"/>
  <c r="I163" i="5"/>
  <c r="F167" i="5"/>
  <c r="E168" i="4"/>
  <c r="F173" i="5"/>
  <c r="E174" i="4"/>
  <c r="I177" i="5"/>
  <c r="G186" i="4"/>
  <c r="I185" i="5"/>
  <c r="E197" i="4"/>
  <c r="I196" i="5"/>
  <c r="F204" i="5"/>
  <c r="F201" i="5" s="1"/>
  <c r="E206" i="4"/>
  <c r="I205" i="5"/>
  <c r="I226" i="5"/>
  <c r="I229" i="5"/>
  <c r="H233" i="5"/>
  <c r="J233" i="5" s="1"/>
  <c r="I234" i="5"/>
  <c r="G236" i="4"/>
  <c r="H242" i="5"/>
  <c r="J242" i="5" s="1"/>
  <c r="I243" i="5"/>
  <c r="H61" i="5"/>
  <c r="J61" i="5" s="1"/>
  <c r="G73" i="4"/>
  <c r="I74" i="5"/>
  <c r="I109" i="5"/>
  <c r="G171" i="4"/>
  <c r="I171" i="5"/>
  <c r="F180" i="5"/>
  <c r="E181" i="4"/>
  <c r="G184" i="4"/>
  <c r="I183" i="5"/>
  <c r="H231" i="5"/>
  <c r="I232" i="5"/>
  <c r="I52" i="5"/>
  <c r="G234" i="4"/>
  <c r="F67" i="5"/>
  <c r="E67" i="4"/>
  <c r="I75" i="5"/>
  <c r="G74" i="4"/>
  <c r="G70" i="4"/>
  <c r="I71" i="5"/>
  <c r="H70" i="5"/>
  <c r="J70" i="5" s="1"/>
  <c r="I85" i="5"/>
  <c r="G91" i="4"/>
  <c r="I91" i="5"/>
  <c r="I101" i="5"/>
  <c r="I97" i="5"/>
  <c r="I110" i="5"/>
  <c r="G104" i="4"/>
  <c r="I104" i="5"/>
  <c r="I113" i="5"/>
  <c r="F118" i="5"/>
  <c r="E119" i="4"/>
  <c r="G134" i="4"/>
  <c r="I134" i="5"/>
  <c r="H136" i="5"/>
  <c r="J136" i="5" s="1"/>
  <c r="I137" i="5"/>
  <c r="G137" i="4"/>
  <c r="G141" i="4"/>
  <c r="I141" i="5"/>
  <c r="I162" i="5"/>
  <c r="H167" i="5"/>
  <c r="J167" i="5" s="1"/>
  <c r="I168" i="5"/>
  <c r="G168" i="4"/>
  <c r="G172" i="4"/>
  <c r="I172" i="5"/>
  <c r="H173" i="5"/>
  <c r="J173" i="5" s="1"/>
  <c r="I174" i="5"/>
  <c r="G174" i="4"/>
  <c r="G176" i="4"/>
  <c r="I176" i="5"/>
  <c r="G185" i="4"/>
  <c r="I184" i="5"/>
  <c r="F236" i="5"/>
  <c r="F235" i="5" s="1"/>
  <c r="E239" i="4"/>
  <c r="I147" i="5"/>
  <c r="I46" i="5"/>
  <c r="I45" i="5"/>
  <c r="G146" i="4"/>
  <c r="G127" i="4"/>
  <c r="I31" i="5"/>
  <c r="G128" i="4"/>
  <c r="I32" i="5"/>
  <c r="I30" i="5"/>
  <c r="I271" i="5"/>
  <c r="G483" i="6"/>
  <c r="G484" i="6"/>
  <c r="I18" i="5"/>
  <c r="H14" i="5"/>
  <c r="J14" i="5" s="1"/>
  <c r="I15" i="5"/>
  <c r="E127" i="4"/>
  <c r="E128" i="4"/>
  <c r="G62" i="4"/>
  <c r="H90" i="5"/>
  <c r="J90" i="5" s="1"/>
  <c r="H29" i="5"/>
  <c r="F90" i="5"/>
  <c r="H228" i="5"/>
  <c r="J228" i="5" s="1"/>
  <c r="F152" i="5"/>
  <c r="F151" i="5" s="1"/>
  <c r="H175" i="5"/>
  <c r="J175" i="5" s="1"/>
  <c r="H225" i="5"/>
  <c r="J225" i="5" s="1"/>
  <c r="H96" i="5"/>
  <c r="J96" i="5" s="1"/>
  <c r="F228" i="5"/>
  <c r="F225" i="5"/>
  <c r="F175" i="5"/>
  <c r="F195" i="5"/>
  <c r="F194" i="5" s="1"/>
  <c r="F182" i="5"/>
  <c r="H182" i="5"/>
  <c r="J182" i="5" s="1"/>
  <c r="H169" i="5"/>
  <c r="J169" i="5" s="1"/>
  <c r="F169" i="5"/>
  <c r="H161" i="5"/>
  <c r="J161" i="5" s="1"/>
  <c r="F161" i="5"/>
  <c r="H131" i="5"/>
  <c r="J131" i="5" s="1"/>
  <c r="F131" i="5"/>
  <c r="F125" i="5"/>
  <c r="I125" i="5" s="1"/>
  <c r="F111" i="5"/>
  <c r="H111" i="5"/>
  <c r="J111" i="5" s="1"/>
  <c r="H106" i="5"/>
  <c r="J106" i="5" s="1"/>
  <c r="F106" i="5"/>
  <c r="F102" i="5"/>
  <c r="F96" i="5"/>
  <c r="F61" i="5"/>
  <c r="F70" i="5"/>
  <c r="F69" i="5" s="1"/>
  <c r="D20" i="6"/>
  <c r="G20" i="6" s="1"/>
  <c r="G121" i="4" l="1"/>
  <c r="J29" i="5"/>
  <c r="G222" i="4"/>
  <c r="I145" i="5"/>
  <c r="J145" i="5"/>
  <c r="G60" i="4"/>
  <c r="I165" i="5"/>
  <c r="J165" i="5"/>
  <c r="I231" i="5"/>
  <c r="J231" i="5"/>
  <c r="I167" i="5"/>
  <c r="F179" i="5"/>
  <c r="F178" i="5" s="1"/>
  <c r="I116" i="5"/>
  <c r="I65" i="5"/>
  <c r="I90" i="5"/>
  <c r="I96" i="5"/>
  <c r="I136" i="5"/>
  <c r="I161" i="5"/>
  <c r="I204" i="5"/>
  <c r="F60" i="5"/>
  <c r="F59" i="5" s="1"/>
  <c r="I169" i="5"/>
  <c r="I228" i="5"/>
  <c r="I129" i="5"/>
  <c r="I106" i="5"/>
  <c r="G69" i="4"/>
  <c r="G68" i="4" s="1"/>
  <c r="I173" i="5"/>
  <c r="H54" i="5"/>
  <c r="J54" i="5" s="1"/>
  <c r="I111" i="5"/>
  <c r="I121" i="5"/>
  <c r="I182" i="5"/>
  <c r="I225" i="5"/>
  <c r="I61" i="5"/>
  <c r="I201" i="5"/>
  <c r="I88" i="5"/>
  <c r="H235" i="5"/>
  <c r="I236" i="5"/>
  <c r="G144" i="6"/>
  <c r="I140" i="5"/>
  <c r="I175" i="5"/>
  <c r="I233" i="5"/>
  <c r="H151" i="5"/>
  <c r="I152" i="5"/>
  <c r="F219" i="5"/>
  <c r="I138" i="5"/>
  <c r="I93" i="5"/>
  <c r="I118" i="5"/>
  <c r="I131" i="5"/>
  <c r="H69" i="5"/>
  <c r="I70" i="5"/>
  <c r="H241" i="5"/>
  <c r="I242" i="5"/>
  <c r="H219" i="5"/>
  <c r="J219" i="5" s="1"/>
  <c r="I220" i="5"/>
  <c r="H194" i="5"/>
  <c r="J194" i="5" s="1"/>
  <c r="I195" i="5"/>
  <c r="I159" i="5"/>
  <c r="H13" i="5"/>
  <c r="J13" i="5" s="1"/>
  <c r="H120" i="5"/>
  <c r="J120" i="5" s="1"/>
  <c r="F120" i="5"/>
  <c r="F158" i="5"/>
  <c r="H158" i="5"/>
  <c r="J158" i="5" s="1"/>
  <c r="F95" i="5"/>
  <c r="D607" i="6"/>
  <c r="D605" i="6"/>
  <c r="G605" i="6" s="1"/>
  <c r="D603" i="6"/>
  <c r="G603" i="6" s="1"/>
  <c r="D598" i="6"/>
  <c r="D595" i="6"/>
  <c r="G595" i="6" s="1"/>
  <c r="D592" i="6"/>
  <c r="D588" i="6"/>
  <c r="G588" i="6" s="1"/>
  <c r="D586" i="6"/>
  <c r="G586" i="6" s="1"/>
  <c r="D584" i="6"/>
  <c r="G584" i="6" s="1"/>
  <c r="D582" i="6"/>
  <c r="G582" i="6" s="1"/>
  <c r="D567" i="6"/>
  <c r="D573" i="6"/>
  <c r="D551" i="6"/>
  <c r="D549" i="6"/>
  <c r="D547" i="6"/>
  <c r="D556" i="6"/>
  <c r="D558" i="6"/>
  <c r="D539" i="6"/>
  <c r="D536" i="6"/>
  <c r="D535" i="6" s="1"/>
  <c r="G592" i="6" l="1"/>
  <c r="D590" i="6"/>
  <c r="I69" i="5"/>
  <c r="J69" i="5"/>
  <c r="I151" i="5"/>
  <c r="J151" i="5"/>
  <c r="I235" i="5"/>
  <c r="J235" i="5"/>
  <c r="I241" i="5"/>
  <c r="J241" i="5"/>
  <c r="G556" i="6"/>
  <c r="G547" i="6"/>
  <c r="G558" i="6"/>
  <c r="D602" i="6"/>
  <c r="G607" i="6"/>
  <c r="I120" i="5"/>
  <c r="H193" i="5"/>
  <c r="J193" i="5" s="1"/>
  <c r="I194" i="5"/>
  <c r="H53" i="5"/>
  <c r="J53" i="5" s="1"/>
  <c r="G549" i="6"/>
  <c r="D571" i="6"/>
  <c r="G571" i="6" s="1"/>
  <c r="G573" i="6"/>
  <c r="D597" i="6"/>
  <c r="G597" i="6" s="1"/>
  <c r="G598" i="6"/>
  <c r="I158" i="5"/>
  <c r="G551" i="6"/>
  <c r="D564" i="6"/>
  <c r="G564" i="6" s="1"/>
  <c r="G567" i="6"/>
  <c r="I219" i="5"/>
  <c r="G535" i="6"/>
  <c r="G536" i="6"/>
  <c r="G590" i="6"/>
  <c r="D581" i="6"/>
  <c r="G581" i="6" s="1"/>
  <c r="D546" i="6"/>
  <c r="D555" i="6"/>
  <c r="D538" i="6"/>
  <c r="D543" i="6"/>
  <c r="D542" i="6" s="1"/>
  <c r="D522" i="6"/>
  <c r="D521" i="6" s="1"/>
  <c r="D517" i="6"/>
  <c r="D516" i="6" s="1"/>
  <c r="D498" i="6"/>
  <c r="D497" i="6" s="1"/>
  <c r="D503" i="6"/>
  <c r="D502" i="6" s="1"/>
  <c r="D468" i="6"/>
  <c r="G468" i="6" s="1"/>
  <c r="D466" i="6"/>
  <c r="D461" i="6"/>
  <c r="D472" i="6"/>
  <c r="D471" i="6" s="1"/>
  <c r="D470" i="6" s="1"/>
  <c r="D456" i="6"/>
  <c r="D450" i="6"/>
  <c r="G450" i="6" s="1"/>
  <c r="D394" i="6"/>
  <c r="D391" i="6" s="1"/>
  <c r="D363" i="6"/>
  <c r="D308" i="6"/>
  <c r="D307" i="6" s="1"/>
  <c r="D301" i="6"/>
  <c r="D300" i="6" s="1"/>
  <c r="D255" i="6"/>
  <c r="D254" i="6" s="1"/>
  <c r="D225" i="6"/>
  <c r="G225" i="6" s="1"/>
  <c r="D248" i="6"/>
  <c r="G248" i="6" s="1"/>
  <c r="D245" i="6"/>
  <c r="G245" i="6" s="1"/>
  <c r="D243" i="6"/>
  <c r="G243" i="6" s="1"/>
  <c r="D236" i="6"/>
  <c r="G236" i="6" s="1"/>
  <c r="D228" i="6"/>
  <c r="G228" i="6" s="1"/>
  <c r="D223" i="6"/>
  <c r="G223" i="6" s="1"/>
  <c r="D219" i="6"/>
  <c r="G219" i="6" s="1"/>
  <c r="D217" i="6"/>
  <c r="G217" i="6" s="1"/>
  <c r="D215" i="6"/>
  <c r="G215" i="6" s="1"/>
  <c r="D211" i="6"/>
  <c r="D210" i="6" s="1"/>
  <c r="D208" i="6"/>
  <c r="D207" i="6" s="1"/>
  <c r="D205" i="6"/>
  <c r="D201" i="6"/>
  <c r="G201" i="6" s="1"/>
  <c r="D193" i="6"/>
  <c r="D192" i="6" s="1"/>
  <c r="D187" i="6"/>
  <c r="D184" i="6"/>
  <c r="D182" i="6"/>
  <c r="D165" i="6"/>
  <c r="D164" i="6" s="1"/>
  <c r="D179" i="6"/>
  <c r="D176" i="6"/>
  <c r="D171" i="6"/>
  <c r="D149" i="6"/>
  <c r="D148" i="6" s="1"/>
  <c r="D130" i="6"/>
  <c r="D133" i="6"/>
  <c r="D125" i="6"/>
  <c r="D123" i="6"/>
  <c r="D119" i="6"/>
  <c r="D117" i="6"/>
  <c r="D115" i="6"/>
  <c r="D111" i="6"/>
  <c r="D109" i="6"/>
  <c r="D102" i="6"/>
  <c r="D101" i="6" s="1"/>
  <c r="D97" i="6"/>
  <c r="D95" i="6"/>
  <c r="D90" i="6"/>
  <c r="D88" i="6"/>
  <c r="D86" i="6"/>
  <c r="D81" i="6"/>
  <c r="D79" i="6"/>
  <c r="D75" i="6"/>
  <c r="D68" i="6"/>
  <c r="D66" i="6"/>
  <c r="D61" i="6"/>
  <c r="D56" i="6"/>
  <c r="D52" i="6"/>
  <c r="D46" i="6"/>
  <c r="D43" i="6"/>
  <c r="D40" i="6"/>
  <c r="D38" i="6"/>
  <c r="D34" i="6"/>
  <c r="D28" i="6"/>
  <c r="D19" i="6"/>
  <c r="G19" i="6" s="1"/>
  <c r="D17" i="6"/>
  <c r="G17" i="6" s="1"/>
  <c r="D15" i="6"/>
  <c r="G15" i="6" s="1"/>
  <c r="D11" i="6"/>
  <c r="H84" i="1"/>
  <c r="J84" i="1" s="1"/>
  <c r="J69" i="1"/>
  <c r="H55" i="1"/>
  <c r="J55" i="1" s="1"/>
  <c r="H47" i="1"/>
  <c r="J47" i="1" s="1"/>
  <c r="H51" i="1"/>
  <c r="J42" i="1"/>
  <c r="H78" i="1"/>
  <c r="J78" i="1" s="1"/>
  <c r="F78" i="1"/>
  <c r="F77" i="1" s="1"/>
  <c r="F76" i="1" s="1"/>
  <c r="F69" i="1"/>
  <c r="F67" i="1" s="1"/>
  <c r="H60" i="1"/>
  <c r="F60" i="1"/>
  <c r="F59" i="1" s="1"/>
  <c r="F55" i="1"/>
  <c r="F54" i="1" s="1"/>
  <c r="F51" i="1"/>
  <c r="F50" i="1" s="1"/>
  <c r="G43" i="2"/>
  <c r="E43" i="2"/>
  <c r="F41" i="1"/>
  <c r="F84" i="1"/>
  <c r="F83" i="1" s="1"/>
  <c r="H31" i="1"/>
  <c r="J31" i="1" s="1"/>
  <c r="F31" i="1"/>
  <c r="F30" i="1" s="1"/>
  <c r="J26" i="1"/>
  <c r="F26" i="1"/>
  <c r="F25" i="1" s="1"/>
  <c r="H23" i="1"/>
  <c r="J23" i="1" s="1"/>
  <c r="F23" i="1"/>
  <c r="F22" i="1" s="1"/>
  <c r="H50" i="1" l="1"/>
  <c r="H46" i="1" s="1"/>
  <c r="J51" i="1"/>
  <c r="H59" i="1"/>
  <c r="J59" i="1" s="1"/>
  <c r="J60" i="1"/>
  <c r="D129" i="6"/>
  <c r="D128" i="6" s="1"/>
  <c r="G43" i="6"/>
  <c r="G61" i="6"/>
  <c r="G75" i="6"/>
  <c r="G176" i="6"/>
  <c r="G184" i="6"/>
  <c r="D460" i="6"/>
  <c r="D459" i="6" s="1"/>
  <c r="D458" i="6" s="1"/>
  <c r="G88" i="6"/>
  <c r="G117" i="6"/>
  <c r="G46" i="6"/>
  <c r="G66" i="6"/>
  <c r="G79" i="6"/>
  <c r="G90" i="6"/>
  <c r="G109" i="6"/>
  <c r="G119" i="6"/>
  <c r="G461" i="6"/>
  <c r="G546" i="6"/>
  <c r="D10" i="6"/>
  <c r="G10" i="6" s="1"/>
  <c r="G11" i="6"/>
  <c r="D27" i="6"/>
  <c r="G27" i="6" s="1"/>
  <c r="G28" i="6"/>
  <c r="G52" i="6"/>
  <c r="G68" i="6"/>
  <c r="G81" i="6"/>
  <c r="G95" i="6"/>
  <c r="G111" i="6"/>
  <c r="G123" i="6"/>
  <c r="G130" i="6"/>
  <c r="G151" i="6"/>
  <c r="G154" i="6"/>
  <c r="G171" i="6"/>
  <c r="G179" i="6"/>
  <c r="G182" i="6"/>
  <c r="G187" i="6"/>
  <c r="G254" i="6"/>
  <c r="G255" i="6"/>
  <c r="G40" i="6"/>
  <c r="G56" i="6"/>
  <c r="G86" i="6"/>
  <c r="G97" i="6"/>
  <c r="G115" i="6"/>
  <c r="G125" i="6"/>
  <c r="G133" i="6"/>
  <c r="G149" i="6"/>
  <c r="G165" i="6"/>
  <c r="G456" i="6"/>
  <c r="G466" i="6"/>
  <c r="G471" i="6"/>
  <c r="G472" i="6"/>
  <c r="D601" i="6"/>
  <c r="G601" i="6" s="1"/>
  <c r="G602" i="6"/>
  <c r="G101" i="6"/>
  <c r="G102" i="6"/>
  <c r="G192" i="6"/>
  <c r="G193" i="6"/>
  <c r="G555" i="6"/>
  <c r="G516" i="6"/>
  <c r="G517" i="6"/>
  <c r="G521" i="6"/>
  <c r="G522" i="6"/>
  <c r="G363" i="6"/>
  <c r="G364" i="6"/>
  <c r="G307" i="6"/>
  <c r="G308" i="6"/>
  <c r="G300" i="6"/>
  <c r="G301" i="6"/>
  <c r="G210" i="6"/>
  <c r="G211" i="6"/>
  <c r="G207" i="6"/>
  <c r="G208" i="6"/>
  <c r="G205" i="6"/>
  <c r="G391" i="6"/>
  <c r="G394" i="6"/>
  <c r="G538" i="6"/>
  <c r="G539" i="6"/>
  <c r="G542" i="6"/>
  <c r="G543" i="6"/>
  <c r="G502" i="6"/>
  <c r="G503" i="6"/>
  <c r="G497" i="6"/>
  <c r="G498" i="6"/>
  <c r="I51" i="1"/>
  <c r="I60" i="1"/>
  <c r="H77" i="1"/>
  <c r="J77" i="1" s="1"/>
  <c r="I78" i="1"/>
  <c r="H41" i="1"/>
  <c r="J41" i="1" s="1"/>
  <c r="I42" i="1"/>
  <c r="H54" i="1"/>
  <c r="J54" i="1" s="1"/>
  <c r="I55" i="1"/>
  <c r="H83" i="1"/>
  <c r="J83" i="1" s="1"/>
  <c r="I84" i="1"/>
  <c r="H22" i="1"/>
  <c r="J22" i="1" s="1"/>
  <c r="I23" i="1"/>
  <c r="H30" i="1"/>
  <c r="I31" i="1"/>
  <c r="I26" i="1"/>
  <c r="H67" i="1"/>
  <c r="J67" i="1" s="1"/>
  <c r="I69" i="1"/>
  <c r="D580" i="6"/>
  <c r="G580" i="6" s="1"/>
  <c r="D449" i="6"/>
  <c r="D200" i="6"/>
  <c r="D199" i="6" s="1"/>
  <c r="D234" i="6"/>
  <c r="G234" i="6" s="1"/>
  <c r="D222" i="6"/>
  <c r="G222" i="6" s="1"/>
  <c r="D214" i="6"/>
  <c r="G214" i="6" s="1"/>
  <c r="D170" i="6"/>
  <c r="G170" i="6" s="1"/>
  <c r="D108" i="6"/>
  <c r="G108" i="6" s="1"/>
  <c r="D70" i="6"/>
  <c r="D45" i="6"/>
  <c r="D33" i="6"/>
  <c r="F13" i="1"/>
  <c r="F11" i="1"/>
  <c r="I11" i="1" s="1"/>
  <c r="G33" i="6" l="1"/>
  <c r="I30" i="1"/>
  <c r="J30" i="1"/>
  <c r="F11" i="11"/>
  <c r="H11" i="11" s="1"/>
  <c r="J46" i="1"/>
  <c r="I25" i="1"/>
  <c r="J25" i="1"/>
  <c r="I50" i="1"/>
  <c r="J50" i="1"/>
  <c r="D9" i="6"/>
  <c r="G9" i="6" s="1"/>
  <c r="G199" i="6"/>
  <c r="G449" i="6"/>
  <c r="G128" i="6"/>
  <c r="G129" i="6"/>
  <c r="G45" i="6"/>
  <c r="G70" i="6"/>
  <c r="G200" i="6"/>
  <c r="G459" i="6"/>
  <c r="G460" i="6"/>
  <c r="I22" i="1"/>
  <c r="H66" i="1"/>
  <c r="J66" i="1" s="1"/>
  <c r="I67" i="1"/>
  <c r="I13" i="1"/>
  <c r="J10" i="1"/>
  <c r="H82" i="1"/>
  <c r="J82" i="1" s="1"/>
  <c r="I83" i="1"/>
  <c r="H40" i="1"/>
  <c r="I41" i="1"/>
  <c r="H58" i="1"/>
  <c r="J58" i="1" s="1"/>
  <c r="I59" i="1"/>
  <c r="F10" i="1"/>
  <c r="F9" i="1" s="1"/>
  <c r="H53" i="1"/>
  <c r="I54" i="1"/>
  <c r="H76" i="1"/>
  <c r="I77" i="1"/>
  <c r="D213" i="6"/>
  <c r="D32" i="6"/>
  <c r="E42" i="2"/>
  <c r="E41" i="2" s="1"/>
  <c r="G42" i="2"/>
  <c r="G41" i="2" s="1"/>
  <c r="G200" i="4"/>
  <c r="G32" i="6" l="1"/>
  <c r="G213" i="6"/>
  <c r="I76" i="1"/>
  <c r="J76" i="1"/>
  <c r="F12" i="11"/>
  <c r="H12" i="11" s="1"/>
  <c r="J40" i="1"/>
  <c r="J53" i="1"/>
  <c r="F13" i="11"/>
  <c r="H13" i="11" s="1"/>
  <c r="I10" i="1"/>
  <c r="G191" i="4"/>
  <c r="G190" i="4" s="1"/>
  <c r="G214" i="4"/>
  <c r="G216" i="4"/>
  <c r="G219" i="4"/>
  <c r="G240" i="4"/>
  <c r="G246" i="4"/>
  <c r="H17" i="5"/>
  <c r="J17" i="5" s="1"/>
  <c r="H35" i="5"/>
  <c r="H44" i="5"/>
  <c r="J44" i="5" s="1"/>
  <c r="H49" i="5"/>
  <c r="J49" i="5" s="1"/>
  <c r="H51" i="5"/>
  <c r="J51" i="5" s="1"/>
  <c r="H68" i="5"/>
  <c r="J68" i="5" s="1"/>
  <c r="H79" i="5"/>
  <c r="J79" i="5" s="1"/>
  <c r="H87" i="5"/>
  <c r="H84" i="5" s="1"/>
  <c r="G93" i="4"/>
  <c r="H105" i="5"/>
  <c r="G118" i="4"/>
  <c r="G129" i="4"/>
  <c r="G131" i="4"/>
  <c r="G136" i="4"/>
  <c r="G167" i="4"/>
  <c r="G169" i="4"/>
  <c r="G173" i="4"/>
  <c r="G175" i="4"/>
  <c r="H181" i="5"/>
  <c r="J181" i="5" s="1"/>
  <c r="H256" i="5"/>
  <c r="J256" i="5" s="1"/>
  <c r="H365" i="5"/>
  <c r="J365" i="5" s="1"/>
  <c r="J370" i="5"/>
  <c r="H374" i="5"/>
  <c r="H376" i="5"/>
  <c r="J376" i="5" s="1"/>
  <c r="G69" i="2"/>
  <c r="G68" i="2" s="1"/>
  <c r="G67" i="2" s="1"/>
  <c r="G66" i="2" s="1"/>
  <c r="E69" i="2"/>
  <c r="E68" i="2" s="1"/>
  <c r="E67" i="2" s="1"/>
  <c r="G65" i="2"/>
  <c r="G64" i="2" s="1"/>
  <c r="G63" i="2" s="1"/>
  <c r="E65" i="2"/>
  <c r="E64" i="2" s="1"/>
  <c r="E63" i="2" s="1"/>
  <c r="G62" i="2"/>
  <c r="G61" i="2" s="1"/>
  <c r="E62" i="2"/>
  <c r="E61" i="2" s="1"/>
  <c r="G60" i="2"/>
  <c r="G59" i="2" s="1"/>
  <c r="E60" i="2"/>
  <c r="E59" i="2" s="1"/>
  <c r="G55" i="2"/>
  <c r="G54" i="2" s="1"/>
  <c r="E55" i="2"/>
  <c r="E54" i="2" s="1"/>
  <c r="G51" i="2"/>
  <c r="G50" i="2" s="1"/>
  <c r="E51" i="2"/>
  <c r="E50" i="2" s="1"/>
  <c r="G49" i="2"/>
  <c r="E49" i="2"/>
  <c r="G35" i="2"/>
  <c r="G34" i="2" s="1"/>
  <c r="E35" i="2"/>
  <c r="E34" i="2" s="1"/>
  <c r="G29" i="2"/>
  <c r="G28" i="2" s="1"/>
  <c r="E29" i="2"/>
  <c r="E28" i="2" s="1"/>
  <c r="G24" i="2"/>
  <c r="G23" i="2" s="1"/>
  <c r="G22" i="2" s="1"/>
  <c r="E24" i="2"/>
  <c r="G21" i="2"/>
  <c r="G20" i="2" s="1"/>
  <c r="G19" i="2" s="1"/>
  <c r="E21" i="2"/>
  <c r="F376" i="5"/>
  <c r="F374" i="5"/>
  <c r="F359" i="5"/>
  <c r="I359" i="5" s="1"/>
  <c r="F356" i="5"/>
  <c r="I356" i="5" s="1"/>
  <c r="F297" i="5"/>
  <c r="I297" i="5" s="1"/>
  <c r="E238" i="4"/>
  <c r="E237" i="4" s="1"/>
  <c r="E205" i="4"/>
  <c r="E202" i="4" s="1"/>
  <c r="E196" i="4"/>
  <c r="E195" i="4" s="1"/>
  <c r="E194" i="4" s="1"/>
  <c r="D43" i="11" s="1"/>
  <c r="E183" i="4"/>
  <c r="E180" i="4"/>
  <c r="E175" i="4"/>
  <c r="E173" i="4"/>
  <c r="E169" i="4"/>
  <c r="E167" i="4"/>
  <c r="E159" i="4"/>
  <c r="E136" i="4"/>
  <c r="E131" i="4"/>
  <c r="E129" i="4"/>
  <c r="E118" i="4"/>
  <c r="E93" i="4"/>
  <c r="F84" i="5"/>
  <c r="F83" i="5" s="1"/>
  <c r="F82" i="5" s="1"/>
  <c r="E64" i="4"/>
  <c r="F55" i="5"/>
  <c r="F51" i="5"/>
  <c r="F49" i="5"/>
  <c r="F44" i="5"/>
  <c r="F35" i="5"/>
  <c r="F29" i="5"/>
  <c r="I29" i="5" s="1"/>
  <c r="F17" i="5"/>
  <c r="F16" i="5" s="1"/>
  <c r="F14" i="5"/>
  <c r="H190" i="5"/>
  <c r="J190" i="5" s="1"/>
  <c r="H214" i="5"/>
  <c r="J214" i="5" s="1"/>
  <c r="H216" i="5"/>
  <c r="J216" i="5" s="1"/>
  <c r="H238" i="5"/>
  <c r="J238" i="5" s="1"/>
  <c r="H244" i="5"/>
  <c r="J244" i="5" s="1"/>
  <c r="H317" i="5"/>
  <c r="J317" i="5" s="1"/>
  <c r="H323" i="5"/>
  <c r="J323" i="5" s="1"/>
  <c r="H326" i="5"/>
  <c r="J326" i="5" s="1"/>
  <c r="H328" i="5"/>
  <c r="J328" i="5" s="1"/>
  <c r="H333" i="5"/>
  <c r="J333" i="5" s="1"/>
  <c r="H336" i="5"/>
  <c r="J336" i="5" s="1"/>
  <c r="H348" i="5"/>
  <c r="J348" i="5" s="1"/>
  <c r="H350" i="5"/>
  <c r="J350" i="5" s="1"/>
  <c r="H423" i="5"/>
  <c r="J423" i="5" s="1"/>
  <c r="H426" i="5"/>
  <c r="J426" i="5" s="1"/>
  <c r="H428" i="5"/>
  <c r="J428" i="5" s="1"/>
  <c r="H432" i="5"/>
  <c r="J432" i="5" s="1"/>
  <c r="H436" i="5"/>
  <c r="J436" i="5" s="1"/>
  <c r="H438" i="5"/>
  <c r="J438" i="5" s="1"/>
  <c r="H443" i="5"/>
  <c r="J453" i="5"/>
  <c r="H461" i="5"/>
  <c r="J461" i="5" s="1"/>
  <c r="H476" i="5"/>
  <c r="J476" i="5" s="1"/>
  <c r="H484" i="5"/>
  <c r="J484" i="5" s="1"/>
  <c r="H489" i="5"/>
  <c r="J489" i="5" s="1"/>
  <c r="G164" i="6"/>
  <c r="G478" i="6"/>
  <c r="J443" i="5" l="1"/>
  <c r="I35" i="5"/>
  <c r="H26" i="5"/>
  <c r="H19" i="5" s="1"/>
  <c r="J374" i="5"/>
  <c r="H369" i="5"/>
  <c r="H368" i="5" s="1"/>
  <c r="J87" i="5"/>
  <c r="G87" i="4"/>
  <c r="G84" i="4" s="1"/>
  <c r="F10" i="11"/>
  <c r="H10" i="11" s="1"/>
  <c r="J35" i="5"/>
  <c r="J473" i="5"/>
  <c r="H472" i="5"/>
  <c r="H471" i="5" s="1"/>
  <c r="I9" i="1"/>
  <c r="J9" i="1"/>
  <c r="I105" i="5"/>
  <c r="J105" i="5"/>
  <c r="H198" i="5"/>
  <c r="J198" i="5" s="1"/>
  <c r="J207" i="5"/>
  <c r="I87" i="5"/>
  <c r="E179" i="4"/>
  <c r="E178" i="4" s="1"/>
  <c r="D42" i="11" s="1"/>
  <c r="F43" i="5"/>
  <c r="F42" i="5" s="1"/>
  <c r="H43" i="5"/>
  <c r="J43" i="5" s="1"/>
  <c r="I370" i="5"/>
  <c r="H322" i="5"/>
  <c r="J322" i="5" s="1"/>
  <c r="H332" i="5"/>
  <c r="J332" i="5" s="1"/>
  <c r="H460" i="5"/>
  <c r="H240" i="5"/>
  <c r="J240" i="5" s="1"/>
  <c r="H442" i="5"/>
  <c r="H213" i="5"/>
  <c r="J213" i="5" s="1"/>
  <c r="H316" i="5"/>
  <c r="J316" i="5" s="1"/>
  <c r="H218" i="5"/>
  <c r="J218" i="5" s="1"/>
  <c r="H189" i="5"/>
  <c r="J189" i="5" s="1"/>
  <c r="I374" i="5"/>
  <c r="I51" i="5"/>
  <c r="I68" i="5"/>
  <c r="H67" i="5"/>
  <c r="J67" i="5" s="1"/>
  <c r="G67" i="4"/>
  <c r="G66" i="4" s="1"/>
  <c r="G59" i="4" s="1"/>
  <c r="I376" i="5"/>
  <c r="I49" i="5"/>
  <c r="G458" i="6"/>
  <c r="G470" i="6"/>
  <c r="F13" i="5"/>
  <c r="I13" i="5" s="1"/>
  <c r="I14" i="5"/>
  <c r="F54" i="5"/>
  <c r="I54" i="5" s="1"/>
  <c r="I55" i="5"/>
  <c r="H180" i="5"/>
  <c r="I181" i="5"/>
  <c r="G181" i="4"/>
  <c r="G180" i="4" s="1"/>
  <c r="I79" i="5"/>
  <c r="H78" i="5"/>
  <c r="G79" i="4"/>
  <c r="G78" i="4" s="1"/>
  <c r="G76" i="4" s="1"/>
  <c r="I44" i="5"/>
  <c r="H248" i="5"/>
  <c r="J248" i="5" s="1"/>
  <c r="I256" i="5"/>
  <c r="I365" i="5"/>
  <c r="H354" i="5"/>
  <c r="J354" i="5" s="1"/>
  <c r="H16" i="5"/>
  <c r="I17" i="5"/>
  <c r="H102" i="5"/>
  <c r="J102" i="5" s="1"/>
  <c r="G105" i="4"/>
  <c r="G102" i="4" s="1"/>
  <c r="J84" i="5"/>
  <c r="F355" i="5"/>
  <c r="H335" i="5"/>
  <c r="J335" i="5" s="1"/>
  <c r="E138" i="4"/>
  <c r="F286" i="5"/>
  <c r="F262" i="5" s="1"/>
  <c r="F26" i="5"/>
  <c r="F19" i="5" s="1"/>
  <c r="H325" i="5"/>
  <c r="J325" i="5" s="1"/>
  <c r="H483" i="5"/>
  <c r="J483" i="5" s="1"/>
  <c r="H422" i="5"/>
  <c r="J422" i="5" s="1"/>
  <c r="H431" i="5"/>
  <c r="J447" i="5"/>
  <c r="E233" i="4"/>
  <c r="E102" i="4"/>
  <c r="E161" i="4"/>
  <c r="E125" i="4"/>
  <c r="E66" i="4"/>
  <c r="E88" i="4"/>
  <c r="E69" i="4"/>
  <c r="E68" i="4" s="1"/>
  <c r="E90" i="4"/>
  <c r="E106" i="4"/>
  <c r="G138" i="4"/>
  <c r="G111" i="4"/>
  <c r="E244" i="4"/>
  <c r="E243" i="4" s="1"/>
  <c r="E147" i="4"/>
  <c r="E165" i="4"/>
  <c r="G161" i="4"/>
  <c r="G88" i="4"/>
  <c r="G244" i="4"/>
  <c r="G243" i="4" s="1"/>
  <c r="G242" i="4" s="1"/>
  <c r="E111" i="4"/>
  <c r="G227" i="4"/>
  <c r="G165" i="4"/>
  <c r="G147" i="4"/>
  <c r="G140" i="4"/>
  <c r="G116" i="4"/>
  <c r="G106" i="4"/>
  <c r="G96" i="4"/>
  <c r="G90" i="4"/>
  <c r="G233" i="4"/>
  <c r="G125" i="4"/>
  <c r="G235" i="4"/>
  <c r="G230" i="4"/>
  <c r="E145" i="4"/>
  <c r="E78" i="4"/>
  <c r="E76" i="4" s="1"/>
  <c r="E230" i="4"/>
  <c r="E84" i="4"/>
  <c r="E96" i="4"/>
  <c r="E116" i="4"/>
  <c r="E235" i="4"/>
  <c r="G196" i="4"/>
  <c r="G195" i="4"/>
  <c r="G194" i="4" s="1"/>
  <c r="F43" i="11" s="1"/>
  <c r="G183" i="4"/>
  <c r="G159" i="4"/>
  <c r="G238" i="4"/>
  <c r="G237" i="4" s="1"/>
  <c r="G205" i="4"/>
  <c r="G202" i="4" s="1"/>
  <c r="G199" i="4" s="1"/>
  <c r="F44" i="11" s="1"/>
  <c r="H44" i="11" s="1"/>
  <c r="G145" i="4"/>
  <c r="E48" i="2"/>
  <c r="E58" i="2"/>
  <c r="E57" i="2" s="1"/>
  <c r="G48" i="2"/>
  <c r="E23" i="2"/>
  <c r="E22" i="2" s="1"/>
  <c r="G58" i="2"/>
  <c r="G57" i="2" s="1"/>
  <c r="E20" i="2"/>
  <c r="E19" i="2" s="1"/>
  <c r="E151" i="4"/>
  <c r="E152" i="4"/>
  <c r="G213" i="4"/>
  <c r="F16" i="8"/>
  <c r="E16" i="8"/>
  <c r="C16" i="8"/>
  <c r="D651" i="6"/>
  <c r="G620" i="6"/>
  <c r="G617" i="6"/>
  <c r="G613" i="6"/>
  <c r="D600" i="6"/>
  <c r="G600" i="6" s="1"/>
  <c r="D576" i="6"/>
  <c r="D575" i="6" s="1"/>
  <c r="D569" i="6"/>
  <c r="D563" i="6" s="1"/>
  <c r="D553" i="6"/>
  <c r="D545" i="6" s="1"/>
  <c r="D529" i="6"/>
  <c r="G529" i="6" s="1"/>
  <c r="D527" i="6"/>
  <c r="G527" i="6" s="1"/>
  <c r="D525" i="6"/>
  <c r="G525" i="6" s="1"/>
  <c r="D519" i="6"/>
  <c r="D515" i="6" s="1"/>
  <c r="D510" i="6"/>
  <c r="G510" i="6" s="1"/>
  <c r="D508" i="6"/>
  <c r="G508" i="6" s="1"/>
  <c r="D506" i="6"/>
  <c r="G506" i="6" s="1"/>
  <c r="D500" i="6"/>
  <c r="D496" i="6" s="1"/>
  <c r="D491" i="6"/>
  <c r="G491" i="6" s="1"/>
  <c r="D489" i="6"/>
  <c r="G489" i="6" s="1"/>
  <c r="D487" i="6"/>
  <c r="G487" i="6" s="1"/>
  <c r="D481" i="6"/>
  <c r="D477" i="6" s="1"/>
  <c r="D442" i="6"/>
  <c r="D438" i="6"/>
  <c r="G438" i="6" s="1"/>
  <c r="D436" i="6"/>
  <c r="D389" i="6"/>
  <c r="D388" i="6" s="1"/>
  <c r="G384" i="6"/>
  <c r="D382" i="6"/>
  <c r="G382" i="6" s="1"/>
  <c r="D379" i="6"/>
  <c r="D372" i="6"/>
  <c r="D371" i="6" s="1"/>
  <c r="D370" i="6" s="1"/>
  <c r="D368" i="6"/>
  <c r="D362" i="6" s="1"/>
  <c r="D350" i="6"/>
  <c r="G350" i="6" s="1"/>
  <c r="D346" i="6"/>
  <c r="D343" i="6"/>
  <c r="D311" i="6"/>
  <c r="D310" i="6" s="1"/>
  <c r="D305" i="6"/>
  <c r="D299" i="6" s="1"/>
  <c r="D295" i="6"/>
  <c r="G295" i="6" s="1"/>
  <c r="D293" i="6"/>
  <c r="G293" i="6" s="1"/>
  <c r="D286" i="6"/>
  <c r="G286" i="6" s="1"/>
  <c r="D284" i="6"/>
  <c r="G284" i="6" s="1"/>
  <c r="D281" i="6"/>
  <c r="D280" i="6" s="1"/>
  <c r="D277" i="6"/>
  <c r="G277" i="6" s="1"/>
  <c r="D274" i="6"/>
  <c r="G274" i="6" s="1"/>
  <c r="D272" i="6"/>
  <c r="G272" i="6" s="1"/>
  <c r="D269" i="6"/>
  <c r="D268" i="6" s="1"/>
  <c r="D263" i="6"/>
  <c r="D262" i="6" s="1"/>
  <c r="D195" i="6"/>
  <c r="D191" i="6" s="1"/>
  <c r="D189" i="6"/>
  <c r="G189" i="6" s="1"/>
  <c r="D186" i="6"/>
  <c r="G186" i="6" s="1"/>
  <c r="D167" i="6"/>
  <c r="D163" i="6" s="1"/>
  <c r="D143" i="6"/>
  <c r="G143" i="6" s="1"/>
  <c r="D141" i="6"/>
  <c r="D140" i="6" s="1"/>
  <c r="F489" i="5"/>
  <c r="I489" i="5" s="1"/>
  <c r="F484" i="5"/>
  <c r="F479" i="5"/>
  <c r="F472" i="5" s="1"/>
  <c r="I476" i="5"/>
  <c r="I473" i="5"/>
  <c r="F460" i="5"/>
  <c r="F459" i="5" s="1"/>
  <c r="F470" i="5" s="1"/>
  <c r="F443" i="5"/>
  <c r="F442" i="5" s="1"/>
  <c r="F441" i="5" s="1"/>
  <c r="F438" i="5"/>
  <c r="I438" i="5" s="1"/>
  <c r="F436" i="5"/>
  <c r="I436" i="5" s="1"/>
  <c r="F432" i="5"/>
  <c r="I432" i="5" s="1"/>
  <c r="F428" i="5"/>
  <c r="I428" i="5" s="1"/>
  <c r="F426" i="5"/>
  <c r="I426" i="5" s="1"/>
  <c r="F423" i="5"/>
  <c r="I423" i="5" s="1"/>
  <c r="F416" i="5"/>
  <c r="F415" i="5" s="1"/>
  <c r="F414" i="5" s="1"/>
  <c r="F406" i="5"/>
  <c r="F368" i="5" s="1"/>
  <c r="F350" i="5"/>
  <c r="I350" i="5" s="1"/>
  <c r="F348" i="5"/>
  <c r="I348" i="5" s="1"/>
  <c r="F336" i="5"/>
  <c r="I336" i="5" s="1"/>
  <c r="F333" i="5"/>
  <c r="F332" i="5" s="1"/>
  <c r="F328" i="5"/>
  <c r="I328" i="5" s="1"/>
  <c r="F326" i="5"/>
  <c r="I326" i="5" s="1"/>
  <c r="F323" i="5"/>
  <c r="F322" i="5" s="1"/>
  <c r="F317" i="5"/>
  <c r="F316" i="5" s="1"/>
  <c r="F244" i="5"/>
  <c r="I244" i="5" s="1"/>
  <c r="F238" i="5"/>
  <c r="F218" i="5" s="1"/>
  <c r="F216" i="5"/>
  <c r="F213" i="5" s="1"/>
  <c r="F214" i="5"/>
  <c r="I214" i="5" s="1"/>
  <c r="F207" i="5"/>
  <c r="F198" i="5" s="1"/>
  <c r="F193" i="5"/>
  <c r="I193" i="5" s="1"/>
  <c r="F190" i="5"/>
  <c r="F189" i="5" s="1"/>
  <c r="E246" i="4"/>
  <c r="E240" i="4"/>
  <c r="E216" i="4"/>
  <c r="E214" i="4"/>
  <c r="E207" i="4"/>
  <c r="E200" i="4"/>
  <c r="E191" i="4"/>
  <c r="E190" i="4" s="1"/>
  <c r="E49" i="4"/>
  <c r="E48" i="4" s="1"/>
  <c r="G48" i="4"/>
  <c r="G47" i="4" s="1"/>
  <c r="E45" i="4"/>
  <c r="E44" i="4" s="1"/>
  <c r="E43" i="4" s="1"/>
  <c r="G44" i="4"/>
  <c r="G43" i="4" s="1"/>
  <c r="E42" i="4"/>
  <c r="E41" i="4" s="1"/>
  <c r="E40" i="4" s="1"/>
  <c r="G41" i="4"/>
  <c r="G40" i="4" s="1"/>
  <c r="E39" i="4"/>
  <c r="E38" i="4"/>
  <c r="G37" i="4"/>
  <c r="E36" i="4"/>
  <c r="E35" i="4"/>
  <c r="G34" i="4"/>
  <c r="G32" i="4"/>
  <c r="G31" i="4" s="1"/>
  <c r="G30" i="4" s="1"/>
  <c r="E32" i="4"/>
  <c r="E31" i="4" s="1"/>
  <c r="E30" i="4" s="1"/>
  <c r="G29" i="4"/>
  <c r="G26" i="4" s="1"/>
  <c r="E29" i="4"/>
  <c r="E28" i="4"/>
  <c r="E27" i="4"/>
  <c r="E25" i="4"/>
  <c r="E24" i="4" s="1"/>
  <c r="G24" i="4"/>
  <c r="E23" i="4"/>
  <c r="E22" i="4"/>
  <c r="G21" i="4"/>
  <c r="G20" i="4"/>
  <c r="G19" i="4" s="1"/>
  <c r="E20" i="4"/>
  <c r="E19" i="4" s="1"/>
  <c r="E18" i="4"/>
  <c r="E17" i="4" s="1"/>
  <c r="G17" i="4"/>
  <c r="E15" i="4"/>
  <c r="E14" i="4" s="1"/>
  <c r="G14" i="4"/>
  <c r="G12" i="4"/>
  <c r="E12" i="4"/>
  <c r="E74" i="2"/>
  <c r="G72" i="2"/>
  <c r="G71" i="2" s="1"/>
  <c r="E72" i="2"/>
  <c r="E66" i="2"/>
  <c r="G53" i="2"/>
  <c r="E53" i="2"/>
  <c r="E40" i="2"/>
  <c r="G40" i="2"/>
  <c r="E31" i="2"/>
  <c r="G27" i="2"/>
  <c r="E27" i="2"/>
  <c r="E14" i="2"/>
  <c r="G12" i="2"/>
  <c r="E12" i="2"/>
  <c r="I347" i="1"/>
  <c r="H347" i="1"/>
  <c r="I345" i="1"/>
  <c r="H345" i="1"/>
  <c r="H344" i="1" s="1"/>
  <c r="H343" i="1" s="1"/>
  <c r="F345" i="1"/>
  <c r="F344" i="1" s="1"/>
  <c r="F343" i="1" s="1"/>
  <c r="I341" i="1"/>
  <c r="H341" i="1"/>
  <c r="F341" i="1"/>
  <c r="I339" i="1"/>
  <c r="H339" i="1"/>
  <c r="F339" i="1"/>
  <c r="I336" i="1"/>
  <c r="H336" i="1"/>
  <c r="F336" i="1"/>
  <c r="I329" i="1"/>
  <c r="I328" i="1" s="1"/>
  <c r="I327" i="1" s="1"/>
  <c r="H329" i="1"/>
  <c r="H328" i="1" s="1"/>
  <c r="H327" i="1" s="1"/>
  <c r="F329" i="1"/>
  <c r="F328" i="1" s="1"/>
  <c r="F327" i="1" s="1"/>
  <c r="I325" i="1"/>
  <c r="H325" i="1"/>
  <c r="F325" i="1"/>
  <c r="I322" i="1"/>
  <c r="H322" i="1"/>
  <c r="F322" i="1"/>
  <c r="F321" i="1" s="1"/>
  <c r="F320" i="1" s="1"/>
  <c r="I317" i="1"/>
  <c r="I316" i="1" s="1"/>
  <c r="I315" i="1" s="1"/>
  <c r="H317" i="1"/>
  <c r="H316" i="1" s="1"/>
  <c r="H315" i="1" s="1"/>
  <c r="F317" i="1"/>
  <c r="F316" i="1" s="1"/>
  <c r="F315" i="1" s="1"/>
  <c r="I313" i="1"/>
  <c r="H313" i="1"/>
  <c r="F313" i="1"/>
  <c r="I311" i="1"/>
  <c r="H311" i="1"/>
  <c r="F311" i="1"/>
  <c r="I308" i="1"/>
  <c r="H308" i="1"/>
  <c r="F308" i="1"/>
  <c r="I304" i="1"/>
  <c r="H304" i="1"/>
  <c r="F304" i="1"/>
  <c r="I302" i="1"/>
  <c r="H302" i="1"/>
  <c r="F302" i="1"/>
  <c r="I299" i="1"/>
  <c r="H299" i="1"/>
  <c r="F299" i="1"/>
  <c r="I294" i="1"/>
  <c r="I293" i="1" s="1"/>
  <c r="I290" i="1"/>
  <c r="H290" i="1"/>
  <c r="F290" i="1"/>
  <c r="I284" i="1"/>
  <c r="H284" i="1"/>
  <c r="F284" i="1"/>
  <c r="I279" i="1"/>
  <c r="H279" i="1"/>
  <c r="F279" i="1"/>
  <c r="I277" i="1"/>
  <c r="H277" i="1"/>
  <c r="F277" i="1"/>
  <c r="I274" i="1"/>
  <c r="H274" i="1"/>
  <c r="F274" i="1"/>
  <c r="H271" i="1"/>
  <c r="H270" i="1" s="1"/>
  <c r="I270" i="1"/>
  <c r="I269" i="1" s="1"/>
  <c r="F270" i="1"/>
  <c r="I265" i="1"/>
  <c r="H265" i="1"/>
  <c r="F265" i="1"/>
  <c r="I263" i="1"/>
  <c r="H260" i="1"/>
  <c r="H259" i="1"/>
  <c r="H257" i="1"/>
  <c r="I256" i="1"/>
  <c r="F256" i="1"/>
  <c r="I254" i="1"/>
  <c r="H254" i="1"/>
  <c r="F254" i="1"/>
  <c r="I251" i="1"/>
  <c r="I250" i="1" s="1"/>
  <c r="H251" i="1"/>
  <c r="H250" i="1" s="1"/>
  <c r="F251" i="1"/>
  <c r="F250" i="1" s="1"/>
  <c r="I246" i="1"/>
  <c r="H246" i="1"/>
  <c r="F246" i="1"/>
  <c r="I244" i="1"/>
  <c r="H244" i="1"/>
  <c r="F244" i="1"/>
  <c r="I241" i="1"/>
  <c r="I240" i="1" s="1"/>
  <c r="H241" i="1"/>
  <c r="H240" i="1" s="1"/>
  <c r="F241" i="1"/>
  <c r="F240" i="1" s="1"/>
  <c r="I235" i="1"/>
  <c r="I234" i="1" s="1"/>
  <c r="H235" i="1"/>
  <c r="H234" i="1" s="1"/>
  <c r="F235" i="1"/>
  <c r="F234" i="1" s="1"/>
  <c r="H229" i="1"/>
  <c r="H226" i="1" s="1"/>
  <c r="I226" i="1"/>
  <c r="F226" i="1"/>
  <c r="H225" i="1"/>
  <c r="H219" i="1"/>
  <c r="H218" i="1"/>
  <c r="I216" i="1"/>
  <c r="F216" i="1"/>
  <c r="H214" i="1"/>
  <c r="H213" i="1"/>
  <c r="H212" i="1"/>
  <c r="H211" i="1"/>
  <c r="H210" i="1"/>
  <c r="I209" i="1"/>
  <c r="F209" i="1"/>
  <c r="H206" i="1"/>
  <c r="H204" i="1" s="1"/>
  <c r="I204" i="1"/>
  <c r="F204" i="1"/>
  <c r="H202" i="1"/>
  <c r="H201" i="1" s="1"/>
  <c r="I201" i="1"/>
  <c r="F201" i="1"/>
  <c r="H200" i="1"/>
  <c r="H199" i="1" s="1"/>
  <c r="I199" i="1"/>
  <c r="F199" i="1"/>
  <c r="H195" i="1"/>
  <c r="H194" i="1" s="1"/>
  <c r="I194" i="1"/>
  <c r="F194" i="1"/>
  <c r="I189" i="1"/>
  <c r="H189" i="1"/>
  <c r="F189" i="1"/>
  <c r="H188" i="1"/>
  <c r="H187" i="1" s="1"/>
  <c r="H186" i="1" s="1"/>
  <c r="I187" i="1"/>
  <c r="I186" i="1" s="1"/>
  <c r="F187" i="1"/>
  <c r="I184" i="1"/>
  <c r="H184" i="1"/>
  <c r="F184" i="1"/>
  <c r="I182" i="1"/>
  <c r="H182" i="1"/>
  <c r="F182" i="1"/>
  <c r="I175" i="1"/>
  <c r="H175" i="1"/>
  <c r="F175" i="1"/>
  <c r="I172" i="1"/>
  <c r="H172" i="1"/>
  <c r="F172" i="1"/>
  <c r="F169" i="1" s="1"/>
  <c r="I170" i="1"/>
  <c r="H170" i="1"/>
  <c r="F170" i="1"/>
  <c r="I163" i="1"/>
  <c r="H163" i="1"/>
  <c r="F163" i="1"/>
  <c r="I161" i="1"/>
  <c r="H161" i="1"/>
  <c r="F161" i="1"/>
  <c r="I158" i="1"/>
  <c r="I157" i="1" s="1"/>
  <c r="H158" i="1"/>
  <c r="H157" i="1" s="1"/>
  <c r="F158" i="1"/>
  <c r="F157" i="1" s="1"/>
  <c r="I154" i="1"/>
  <c r="I153" i="1" s="1"/>
  <c r="H154" i="1"/>
  <c r="H153" i="1" s="1"/>
  <c r="F154" i="1"/>
  <c r="F153" i="1" s="1"/>
  <c r="I149" i="1"/>
  <c r="I148" i="1" s="1"/>
  <c r="H149" i="1"/>
  <c r="H148" i="1" s="1"/>
  <c r="F149" i="1"/>
  <c r="F148" i="1" s="1"/>
  <c r="I140" i="1"/>
  <c r="H140" i="1"/>
  <c r="F140" i="1"/>
  <c r="I138" i="1"/>
  <c r="H138" i="1"/>
  <c r="F138" i="1"/>
  <c r="I128" i="1"/>
  <c r="H128" i="1"/>
  <c r="F128" i="1"/>
  <c r="I121" i="1"/>
  <c r="H121" i="1"/>
  <c r="F121" i="1"/>
  <c r="I116" i="1"/>
  <c r="H116" i="1"/>
  <c r="F116" i="1"/>
  <c r="I113" i="1"/>
  <c r="H113" i="1"/>
  <c r="F113" i="1"/>
  <c r="I111" i="1"/>
  <c r="H111" i="1"/>
  <c r="F111" i="1"/>
  <c r="I106" i="1"/>
  <c r="H106" i="1"/>
  <c r="F106" i="1"/>
  <c r="H91" i="1"/>
  <c r="J91" i="1" s="1"/>
  <c r="F91" i="1"/>
  <c r="H89" i="1"/>
  <c r="J89" i="1" s="1"/>
  <c r="F89" i="1"/>
  <c r="H86" i="1"/>
  <c r="F82" i="1"/>
  <c r="H81" i="1"/>
  <c r="F81" i="1"/>
  <c r="D17" i="11" s="1"/>
  <c r="D16" i="11" s="1"/>
  <c r="H73" i="1"/>
  <c r="J73" i="1" s="1"/>
  <c r="F73" i="1"/>
  <c r="F72" i="1" s="1"/>
  <c r="F66" i="1"/>
  <c r="I66" i="1" s="1"/>
  <c r="F58" i="1"/>
  <c r="I58" i="1" s="1"/>
  <c r="F53" i="1"/>
  <c r="D13" i="11" s="1"/>
  <c r="G13" i="11" s="1"/>
  <c r="F47" i="1"/>
  <c r="I47" i="1" s="1"/>
  <c r="F40" i="1"/>
  <c r="D12" i="11" s="1"/>
  <c r="G12" i="11" s="1"/>
  <c r="H38" i="1"/>
  <c r="J38" i="1" s="1"/>
  <c r="F38" i="1"/>
  <c r="F37" i="1" s="1"/>
  <c r="H34" i="1"/>
  <c r="F34" i="1"/>
  <c r="H15" i="1"/>
  <c r="F15" i="1"/>
  <c r="D7" i="11" s="1"/>
  <c r="I442" i="5" l="1"/>
  <c r="J442" i="5"/>
  <c r="J431" i="5"/>
  <c r="I443" i="5"/>
  <c r="I16" i="5"/>
  <c r="J16" i="5"/>
  <c r="G158" i="4"/>
  <c r="G436" i="6"/>
  <c r="D432" i="6"/>
  <c r="G43" i="11"/>
  <c r="H43" i="11"/>
  <c r="D342" i="6"/>
  <c r="G343" i="6"/>
  <c r="D650" i="6"/>
  <c r="G650" i="6" s="1"/>
  <c r="G651" i="6"/>
  <c r="I484" i="5"/>
  <c r="F483" i="5"/>
  <c r="F482" i="5" s="1"/>
  <c r="J460" i="5"/>
  <c r="H459" i="5"/>
  <c r="G442" i="6"/>
  <c r="D441" i="6"/>
  <c r="G660" i="6"/>
  <c r="J86" i="1"/>
  <c r="F17" i="11"/>
  <c r="J81" i="1"/>
  <c r="H16" i="1"/>
  <c r="J16" i="1" s="1"/>
  <c r="J34" i="1"/>
  <c r="F7" i="11"/>
  <c r="J15" i="1"/>
  <c r="G379" i="6"/>
  <c r="D378" i="6"/>
  <c r="D377" i="6" s="1"/>
  <c r="H77" i="5"/>
  <c r="J77" i="5" s="1"/>
  <c r="J78" i="5"/>
  <c r="H179" i="5"/>
  <c r="J179" i="5" s="1"/>
  <c r="J180" i="5"/>
  <c r="I369" i="5"/>
  <c r="J369" i="5"/>
  <c r="J19" i="5"/>
  <c r="J26" i="5"/>
  <c r="D6" i="11"/>
  <c r="E221" i="4"/>
  <c r="E218" i="4" s="1"/>
  <c r="G140" i="6"/>
  <c r="G362" i="6"/>
  <c r="G563" i="6"/>
  <c r="G179" i="4"/>
  <c r="G178" i="4" s="1"/>
  <c r="F42" i="11" s="1"/>
  <c r="G141" i="6"/>
  <c r="I323" i="5"/>
  <c r="H212" i="5"/>
  <c r="J212" i="5" s="1"/>
  <c r="F53" i="5"/>
  <c r="I53" i="5" s="1"/>
  <c r="I189" i="5"/>
  <c r="I453" i="5"/>
  <c r="G569" i="6"/>
  <c r="I218" i="5"/>
  <c r="G263" i="6"/>
  <c r="G545" i="6"/>
  <c r="G389" i="6"/>
  <c r="G368" i="6"/>
  <c r="G496" i="6"/>
  <c r="G299" i="6"/>
  <c r="G576" i="6"/>
  <c r="I460" i="5"/>
  <c r="F12" i="5"/>
  <c r="F11" i="5" s="1"/>
  <c r="I216" i="5"/>
  <c r="I322" i="5"/>
  <c r="I238" i="5"/>
  <c r="I317" i="5"/>
  <c r="I213" i="5"/>
  <c r="I332" i="5"/>
  <c r="H441" i="5"/>
  <c r="I198" i="5"/>
  <c r="I190" i="5"/>
  <c r="I316" i="5"/>
  <c r="I406" i="5"/>
  <c r="I207" i="5"/>
  <c r="I461" i="5"/>
  <c r="I333" i="5"/>
  <c r="H95" i="5"/>
  <c r="J95" i="5" s="1"/>
  <c r="I102" i="5"/>
  <c r="G477" i="6"/>
  <c r="G163" i="6"/>
  <c r="I262" i="5"/>
  <c r="I286" i="5"/>
  <c r="G262" i="6"/>
  <c r="G519" i="6"/>
  <c r="G58" i="4"/>
  <c r="F40" i="11" s="1"/>
  <c r="G281" i="6"/>
  <c r="G346" i="6"/>
  <c r="G575" i="6"/>
  <c r="G347" i="6"/>
  <c r="G148" i="6"/>
  <c r="H83" i="5"/>
  <c r="I84" i="5"/>
  <c r="G195" i="6"/>
  <c r="G372" i="6"/>
  <c r="G481" i="6"/>
  <c r="G515" i="6"/>
  <c r="I67" i="5"/>
  <c r="H60" i="5"/>
  <c r="J60" i="5" s="1"/>
  <c r="G280" i="6"/>
  <c r="F354" i="5"/>
  <c r="I354" i="5" s="1"/>
  <c r="I355" i="5"/>
  <c r="G268" i="6"/>
  <c r="I78" i="5"/>
  <c r="I180" i="5"/>
  <c r="G191" i="6"/>
  <c r="G167" i="6"/>
  <c r="G370" i="6"/>
  <c r="G371" i="6"/>
  <c r="G500" i="6"/>
  <c r="G553" i="6"/>
  <c r="G305" i="6"/>
  <c r="G269" i="6"/>
  <c r="H42" i="5"/>
  <c r="I43" i="5"/>
  <c r="I26" i="5"/>
  <c r="I19" i="5" s="1"/>
  <c r="J446" i="5"/>
  <c r="I447" i="5"/>
  <c r="G388" i="6"/>
  <c r="H331" i="5"/>
  <c r="J331" i="5" s="1"/>
  <c r="H12" i="5"/>
  <c r="E33" i="2"/>
  <c r="G33" i="2"/>
  <c r="I89" i="1"/>
  <c r="I17" i="1"/>
  <c r="H37" i="1"/>
  <c r="J37" i="1" s="1"/>
  <c r="I38" i="1"/>
  <c r="I15" i="1"/>
  <c r="I34" i="1"/>
  <c r="I40" i="1"/>
  <c r="I53" i="1"/>
  <c r="I81" i="1"/>
  <c r="I91" i="1"/>
  <c r="H72" i="1"/>
  <c r="J72" i="1" s="1"/>
  <c r="I73" i="1"/>
  <c r="F86" i="1"/>
  <c r="D19" i="11" s="1"/>
  <c r="D18" i="11" s="1"/>
  <c r="I82" i="1"/>
  <c r="E95" i="4"/>
  <c r="D8" i="6"/>
  <c r="H421" i="5"/>
  <c r="J421" i="5" s="1"/>
  <c r="H482" i="5"/>
  <c r="J482" i="5" s="1"/>
  <c r="F422" i="5"/>
  <c r="I422" i="5" s="1"/>
  <c r="F471" i="5"/>
  <c r="E158" i="4"/>
  <c r="D169" i="6"/>
  <c r="D162" i="6" s="1"/>
  <c r="E83" i="4"/>
  <c r="E120" i="4"/>
  <c r="E242" i="4"/>
  <c r="G95" i="4"/>
  <c r="D387" i="6"/>
  <c r="G221" i="4"/>
  <c r="G218" i="4" s="1"/>
  <c r="G212" i="4" s="1"/>
  <c r="H247" i="5"/>
  <c r="D345" i="6"/>
  <c r="G345" i="6" s="1"/>
  <c r="G120" i="4"/>
  <c r="D298" i="6"/>
  <c r="G83" i="4"/>
  <c r="E59" i="4"/>
  <c r="E58" i="4" s="1"/>
  <c r="D40" i="11" s="1"/>
  <c r="D283" i="6"/>
  <c r="D279" i="6" s="1"/>
  <c r="D361" i="6"/>
  <c r="D360" i="6" s="1"/>
  <c r="D579" i="6"/>
  <c r="D578" i="6" s="1"/>
  <c r="G578" i="6" s="1"/>
  <c r="G151" i="4"/>
  <c r="G152" i="4"/>
  <c r="H321" i="1"/>
  <c r="H320" i="1" s="1"/>
  <c r="H334" i="1" s="1"/>
  <c r="F160" i="1"/>
  <c r="H269" i="1"/>
  <c r="H268" i="1" s="1"/>
  <c r="H296" i="1" s="1"/>
  <c r="H169" i="1"/>
  <c r="F193" i="1"/>
  <c r="H335" i="1"/>
  <c r="H349" i="1" s="1"/>
  <c r="I193" i="1"/>
  <c r="F186" i="1"/>
  <c r="E47" i="2"/>
  <c r="H193" i="1"/>
  <c r="H160" i="1"/>
  <c r="I169" i="1"/>
  <c r="F174" i="1"/>
  <c r="F269" i="1"/>
  <c r="F16" i="1"/>
  <c r="F36" i="1" s="1"/>
  <c r="D15" i="11" s="1"/>
  <c r="D14" i="11" s="1"/>
  <c r="F243" i="1"/>
  <c r="H115" i="1"/>
  <c r="F115" i="1"/>
  <c r="I203" i="1"/>
  <c r="F88" i="1"/>
  <c r="F87" i="1" s="1"/>
  <c r="F94" i="1" s="1"/>
  <c r="F307" i="1"/>
  <c r="I321" i="1"/>
  <c r="I320" i="1" s="1"/>
  <c r="I334" i="1" s="1"/>
  <c r="H105" i="1"/>
  <c r="H209" i="1"/>
  <c r="I276" i="1"/>
  <c r="I268" i="1" s="1"/>
  <c r="I296" i="1" s="1"/>
  <c r="I253" i="1"/>
  <c r="I249" i="1" s="1"/>
  <c r="I298" i="1"/>
  <c r="F298" i="1"/>
  <c r="I344" i="1"/>
  <c r="I343" i="1" s="1"/>
  <c r="F334" i="1"/>
  <c r="H88" i="1"/>
  <c r="J88" i="1" s="1"/>
  <c r="I105" i="1"/>
  <c r="I160" i="1"/>
  <c r="H256" i="1"/>
  <c r="H253" i="1" s="1"/>
  <c r="H249" i="1" s="1"/>
  <c r="I335" i="1"/>
  <c r="F105" i="1"/>
  <c r="H174" i="1"/>
  <c r="F203" i="1"/>
  <c r="I243" i="1"/>
  <c r="I307" i="1"/>
  <c r="H243" i="1"/>
  <c r="H307" i="1"/>
  <c r="F46" i="1"/>
  <c r="D11" i="11" s="1"/>
  <c r="I115" i="1"/>
  <c r="I174" i="1"/>
  <c r="H216" i="1"/>
  <c r="F253" i="1"/>
  <c r="F249" i="1" s="1"/>
  <c r="F276" i="1"/>
  <c r="H298" i="1"/>
  <c r="F335" i="1"/>
  <c r="F349" i="1" s="1"/>
  <c r="E11" i="2"/>
  <c r="E199" i="4"/>
  <c r="E21" i="4"/>
  <c r="E11" i="4" s="1"/>
  <c r="E26" i="4"/>
  <c r="F248" i="5"/>
  <c r="I248" i="5" s="1"/>
  <c r="D562" i="6"/>
  <c r="D561" i="6" s="1"/>
  <c r="D505" i="6"/>
  <c r="D495" i="6" s="1"/>
  <c r="D494" i="6" s="1"/>
  <c r="D493" i="6" s="1"/>
  <c r="F240" i="5"/>
  <c r="I240" i="5" s="1"/>
  <c r="F335" i="5"/>
  <c r="F331" i="5" s="1"/>
  <c r="F431" i="5"/>
  <c r="I431" i="5" s="1"/>
  <c r="F325" i="5"/>
  <c r="I325" i="5" s="1"/>
  <c r="E213" i="4"/>
  <c r="G46" i="4"/>
  <c r="G33" i="4"/>
  <c r="E37" i="4"/>
  <c r="G11" i="4"/>
  <c r="E34" i="4"/>
  <c r="D271" i="6"/>
  <c r="D198" i="6" s="1"/>
  <c r="D197" i="6" s="1"/>
  <c r="D534" i="6"/>
  <c r="G534" i="6" s="1"/>
  <c r="D486" i="6"/>
  <c r="G486" i="6" s="1"/>
  <c r="D524" i="6"/>
  <c r="G619" i="6"/>
  <c r="E47" i="4"/>
  <c r="E46" i="4"/>
  <c r="E71" i="2"/>
  <c r="E70" i="2" s="1"/>
  <c r="H12" i="3" s="1"/>
  <c r="G11" i="2"/>
  <c r="G47" i="2"/>
  <c r="F75" i="1"/>
  <c r="D9" i="11" s="1"/>
  <c r="D8" i="11" s="1"/>
  <c r="F16" i="11" l="1"/>
  <c r="H17" i="11"/>
  <c r="D431" i="6"/>
  <c r="D430" i="6" s="1"/>
  <c r="G432" i="6"/>
  <c r="F6" i="11"/>
  <c r="H6" i="11" s="1"/>
  <c r="H7" i="11"/>
  <c r="G42" i="11"/>
  <c r="H42" i="11"/>
  <c r="G16" i="11"/>
  <c r="H16" i="11"/>
  <c r="G40" i="11"/>
  <c r="H40" i="11"/>
  <c r="J247" i="5"/>
  <c r="E82" i="4"/>
  <c r="D41" i="11" s="1"/>
  <c r="G82" i="4"/>
  <c r="F41" i="11" s="1"/>
  <c r="H41" i="11" s="1"/>
  <c r="H82" i="5"/>
  <c r="D28" i="11"/>
  <c r="D44" i="11"/>
  <c r="G44" i="11" s="1"/>
  <c r="D514" i="6"/>
  <c r="G514" i="6" s="1"/>
  <c r="G524" i="6"/>
  <c r="D10" i="11"/>
  <c r="G10" i="11" s="1"/>
  <c r="G11" i="11"/>
  <c r="D669" i="6"/>
  <c r="D560" i="6"/>
  <c r="J12" i="5"/>
  <c r="H11" i="5"/>
  <c r="G70" i="2"/>
  <c r="J12" i="3" s="1"/>
  <c r="L12" i="3" s="1"/>
  <c r="I168" i="1"/>
  <c r="G17" i="11"/>
  <c r="G7" i="11"/>
  <c r="I77" i="5"/>
  <c r="I441" i="5"/>
  <c r="J441" i="5"/>
  <c r="I459" i="5"/>
  <c r="J459" i="5"/>
  <c r="I83" i="5"/>
  <c r="J83" i="5"/>
  <c r="I42" i="5"/>
  <c r="J42" i="5"/>
  <c r="J15" i="3"/>
  <c r="L15" i="3" s="1"/>
  <c r="F45" i="11"/>
  <c r="H45" i="11" s="1"/>
  <c r="G198" i="6"/>
  <c r="F41" i="5"/>
  <c r="F57" i="5" s="1"/>
  <c r="G169" i="6"/>
  <c r="G271" i="6"/>
  <c r="H445" i="5"/>
  <c r="J445" i="5" s="1"/>
  <c r="H178" i="5"/>
  <c r="I179" i="5"/>
  <c r="G377" i="6"/>
  <c r="G579" i="6"/>
  <c r="I482" i="5"/>
  <c r="G495" i="6"/>
  <c r="I335" i="5"/>
  <c r="G387" i="6"/>
  <c r="G162" i="6"/>
  <c r="G494" i="6"/>
  <c r="I331" i="5"/>
  <c r="G505" i="6"/>
  <c r="G283" i="6"/>
  <c r="I60" i="5"/>
  <c r="H59" i="5"/>
  <c r="J59" i="5" s="1"/>
  <c r="G612" i="6"/>
  <c r="G360" i="6"/>
  <c r="E212" i="4"/>
  <c r="D45" i="11" s="1"/>
  <c r="G562" i="6"/>
  <c r="G279" i="6"/>
  <c r="G378" i="6"/>
  <c r="I483" i="5"/>
  <c r="I95" i="5"/>
  <c r="G611" i="6"/>
  <c r="G361" i="6"/>
  <c r="H41" i="5"/>
  <c r="J41" i="5" s="1"/>
  <c r="H470" i="5"/>
  <c r="I446" i="5"/>
  <c r="G561" i="6"/>
  <c r="G493" i="6"/>
  <c r="I12" i="5"/>
  <c r="I37" i="1"/>
  <c r="H57" i="1"/>
  <c r="J57" i="1" s="1"/>
  <c r="I72" i="1"/>
  <c r="H75" i="1"/>
  <c r="I86" i="1"/>
  <c r="I46" i="1"/>
  <c r="I16" i="1"/>
  <c r="H87" i="1"/>
  <c r="J87" i="1" s="1"/>
  <c r="I88" i="1"/>
  <c r="H352" i="5"/>
  <c r="J352" i="5" s="1"/>
  <c r="F421" i="5"/>
  <c r="F445" i="5" s="1"/>
  <c r="F495" i="5"/>
  <c r="D533" i="6"/>
  <c r="D532" i="6" s="1"/>
  <c r="D531" i="6" s="1"/>
  <c r="G531" i="6" s="1"/>
  <c r="D376" i="6"/>
  <c r="D36" i="11" s="1"/>
  <c r="D297" i="6"/>
  <c r="F212" i="5"/>
  <c r="I212" i="5" s="1"/>
  <c r="I297" i="1"/>
  <c r="I319" i="1" s="1"/>
  <c r="F168" i="1"/>
  <c r="F268" i="1"/>
  <c r="F296" i="1" s="1"/>
  <c r="F104" i="1"/>
  <c r="H203" i="1"/>
  <c r="H192" i="1" s="1"/>
  <c r="H267" i="1" s="1"/>
  <c r="F192" i="1"/>
  <c r="I104" i="1"/>
  <c r="H104" i="1"/>
  <c r="H168" i="1"/>
  <c r="F297" i="1"/>
  <c r="F319" i="1" s="1"/>
  <c r="I192" i="1"/>
  <c r="I267" i="1" s="1"/>
  <c r="I349" i="1"/>
  <c r="F57" i="1"/>
  <c r="H297" i="1"/>
  <c r="H319" i="1" s="1"/>
  <c r="H36" i="1"/>
  <c r="G10" i="4"/>
  <c r="G51" i="4" s="1"/>
  <c r="E10" i="2"/>
  <c r="F353" i="5"/>
  <c r="F247" i="5"/>
  <c r="F352" i="5" s="1"/>
  <c r="E33" i="4"/>
  <c r="E10" i="4" s="1"/>
  <c r="E51" i="4" s="1"/>
  <c r="D476" i="6"/>
  <c r="D475" i="6" s="1"/>
  <c r="D474" i="6" s="1"/>
  <c r="G609" i="6"/>
  <c r="G10" i="2"/>
  <c r="D20" i="11" l="1"/>
  <c r="D429" i="6"/>
  <c r="G402" i="6"/>
  <c r="G6" i="11"/>
  <c r="J11" i="5"/>
  <c r="D5" i="11"/>
  <c r="D513" i="6"/>
  <c r="D26" i="11" s="1"/>
  <c r="D32" i="11"/>
  <c r="F9" i="5"/>
  <c r="J11" i="3"/>
  <c r="L11" i="3" s="1"/>
  <c r="G77" i="2"/>
  <c r="F420" i="5"/>
  <c r="I191" i="1"/>
  <c r="F9" i="11"/>
  <c r="J75" i="1"/>
  <c r="F15" i="11"/>
  <c r="J36" i="1"/>
  <c r="H8" i="1"/>
  <c r="I178" i="5"/>
  <c r="J178" i="5"/>
  <c r="I470" i="5"/>
  <c r="J470" i="5"/>
  <c r="I82" i="5"/>
  <c r="J82" i="5"/>
  <c r="D35" i="11"/>
  <c r="G35" i="11" s="1"/>
  <c r="G36" i="11"/>
  <c r="E57" i="4"/>
  <c r="H14" i="3" s="1"/>
  <c r="D46" i="11"/>
  <c r="G45" i="11"/>
  <c r="F46" i="11"/>
  <c r="H46" i="11" s="1"/>
  <c r="H15" i="3"/>
  <c r="K15" i="3" s="1"/>
  <c r="G560" i="6"/>
  <c r="I41" i="5"/>
  <c r="G476" i="6"/>
  <c r="I421" i="5"/>
  <c r="I247" i="5"/>
  <c r="I445" i="5"/>
  <c r="I352" i="5"/>
  <c r="G533" i="6"/>
  <c r="H58" i="5"/>
  <c r="I59" i="5"/>
  <c r="G376" i="6"/>
  <c r="G669" i="6"/>
  <c r="G610" i="6"/>
  <c r="G532" i="6"/>
  <c r="I11" i="5"/>
  <c r="H57" i="5"/>
  <c r="G474" i="6"/>
  <c r="G475" i="6"/>
  <c r="G57" i="4"/>
  <c r="I75" i="1"/>
  <c r="I57" i="1"/>
  <c r="F191" i="1"/>
  <c r="H94" i="1"/>
  <c r="F19" i="11" s="1"/>
  <c r="H19" i="11" s="1"/>
  <c r="I87" i="1"/>
  <c r="I36" i="1"/>
  <c r="I350" i="1"/>
  <c r="I352" i="1" s="1"/>
  <c r="I354" i="1" s="1"/>
  <c r="F350" i="1"/>
  <c r="H191" i="1"/>
  <c r="H350" i="1"/>
  <c r="F267" i="1"/>
  <c r="F8" i="1"/>
  <c r="F95" i="1" s="1"/>
  <c r="H11" i="3"/>
  <c r="H10" i="3" s="1"/>
  <c r="E77" i="2"/>
  <c r="G513" i="6" l="1"/>
  <c r="D512" i="6"/>
  <c r="G512" i="6" s="1"/>
  <c r="G9" i="11"/>
  <c r="H9" i="11"/>
  <c r="F14" i="11"/>
  <c r="H14" i="11" s="1"/>
  <c r="H15" i="11"/>
  <c r="J58" i="5"/>
  <c r="G19" i="11"/>
  <c r="F18" i="11"/>
  <c r="F8" i="11"/>
  <c r="G15" i="11"/>
  <c r="I94" i="1"/>
  <c r="J94" i="1"/>
  <c r="H95" i="1"/>
  <c r="J95" i="1" s="1"/>
  <c r="I8" i="1"/>
  <c r="J8" i="1"/>
  <c r="I57" i="5"/>
  <c r="J57" i="5"/>
  <c r="G46" i="11"/>
  <c r="G41" i="11"/>
  <c r="G197" i="6"/>
  <c r="D25" i="11"/>
  <c r="E248" i="4"/>
  <c r="C10" i="8" s="1"/>
  <c r="D31" i="11"/>
  <c r="G248" i="4"/>
  <c r="E10" i="8" s="1"/>
  <c r="G10" i="8" s="1"/>
  <c r="J14" i="3"/>
  <c r="H13" i="3"/>
  <c r="H16" i="3" s="1"/>
  <c r="H28" i="3" s="1"/>
  <c r="J10" i="3"/>
  <c r="K11" i="3"/>
  <c r="G8" i="6"/>
  <c r="G14" i="11" l="1"/>
  <c r="G18" i="11"/>
  <c r="H18" i="11"/>
  <c r="G8" i="11"/>
  <c r="H8" i="11"/>
  <c r="C15" i="8"/>
  <c r="F10" i="8"/>
  <c r="I95" i="1"/>
  <c r="F5" i="11"/>
  <c r="F20" i="11"/>
  <c r="J13" i="3"/>
  <c r="L13" i="3" s="1"/>
  <c r="L14" i="3"/>
  <c r="C14" i="8"/>
  <c r="C13" i="8"/>
  <c r="D27" i="11"/>
  <c r="G27" i="11" s="1"/>
  <c r="G28" i="11"/>
  <c r="E13" i="8"/>
  <c r="G13" i="8" s="1"/>
  <c r="E14" i="8"/>
  <c r="G14" i="8" s="1"/>
  <c r="E15" i="8"/>
  <c r="K14" i="3"/>
  <c r="D7" i="6"/>
  <c r="D30" i="11" l="1"/>
  <c r="G7" i="6"/>
  <c r="G5" i="11"/>
  <c r="H5" i="11"/>
  <c r="G20" i="11"/>
  <c r="H20" i="11"/>
  <c r="F15" i="8"/>
  <c r="G15" i="8"/>
  <c r="D6" i="6"/>
  <c r="K13" i="3"/>
  <c r="J16" i="3"/>
  <c r="C12" i="8"/>
  <c r="C11" i="8" s="1"/>
  <c r="F14" i="8"/>
  <c r="F13" i="8"/>
  <c r="E12" i="8"/>
  <c r="G12" i="8" s="1"/>
  <c r="F58" i="5"/>
  <c r="F496" i="5" l="1"/>
  <c r="F8" i="5"/>
  <c r="K16" i="3"/>
  <c r="J28" i="3"/>
  <c r="L16" i="3"/>
  <c r="D29" i="11"/>
  <c r="G30" i="11"/>
  <c r="E11" i="8"/>
  <c r="G11" i="8" s="1"/>
  <c r="F12" i="8"/>
  <c r="F246" i="5"/>
  <c r="I58" i="5"/>
  <c r="H246" i="5"/>
  <c r="J246" i="5" s="1"/>
  <c r="F11" i="8" l="1"/>
  <c r="G29" i="11"/>
  <c r="I246" i="5"/>
  <c r="H495" i="5"/>
  <c r="J479" i="5"/>
  <c r="I479" i="5"/>
  <c r="I495" i="5" l="1"/>
  <c r="J495" i="5"/>
  <c r="J471" i="5"/>
  <c r="I471" i="5"/>
  <c r="F446" i="6" l="1"/>
  <c r="F441" i="6" s="1"/>
  <c r="F431" i="6" s="1"/>
  <c r="F668" i="6" s="1"/>
  <c r="H447" i="6"/>
  <c r="F430" i="6" l="1"/>
  <c r="H431" i="6"/>
  <c r="I668" i="6"/>
  <c r="G441" i="6"/>
  <c r="G431" i="6" s="1"/>
  <c r="H446" i="6"/>
  <c r="H441" i="6"/>
  <c r="F429" i="6" l="1"/>
  <c r="G430" i="6"/>
  <c r="H430" i="6"/>
  <c r="F26" i="11"/>
  <c r="H26" i="11" s="1"/>
  <c r="H429" i="6" l="1"/>
  <c r="G429" i="6"/>
  <c r="F25" i="11"/>
  <c r="H25" i="11" s="1"/>
  <c r="G26" i="11"/>
  <c r="G25" i="11" l="1"/>
  <c r="H9" i="5"/>
  <c r="J9" i="5" s="1"/>
  <c r="I414" i="5"/>
  <c r="I415" i="5"/>
  <c r="J415" i="5"/>
  <c r="I416" i="5"/>
  <c r="J416" i="5"/>
  <c r="I418" i="5"/>
  <c r="J418" i="5"/>
  <c r="I9" i="5" l="1"/>
  <c r="J414" i="5"/>
  <c r="G315" i="6"/>
  <c r="F670" i="6" l="1"/>
  <c r="G310" i="6"/>
  <c r="H310" i="6"/>
  <c r="G311" i="6"/>
  <c r="G298" i="6" l="1"/>
  <c r="H298" i="6"/>
  <c r="F297" i="6"/>
  <c r="F6" i="6" s="1"/>
  <c r="I609" i="6" l="1"/>
  <c r="F32" i="11"/>
  <c r="H32" i="11" s="1"/>
  <c r="G297" i="6"/>
  <c r="H297" i="6"/>
  <c r="H668" i="6"/>
  <c r="H6" i="6" l="1"/>
  <c r="G6" i="6"/>
  <c r="H670" i="6"/>
  <c r="G32" i="11"/>
  <c r="F31" i="11"/>
  <c r="F24" i="11" l="1"/>
  <c r="H24" i="11" s="1"/>
  <c r="H31" i="11"/>
  <c r="F37" i="11"/>
  <c r="H37" i="11" s="1"/>
  <c r="G31" i="11"/>
  <c r="I383" i="5"/>
  <c r="J368" i="5" l="1"/>
  <c r="I368" i="5"/>
  <c r="H353" i="5"/>
  <c r="H8" i="5" s="1"/>
  <c r="J378" i="5"/>
  <c r="I378" i="5"/>
  <c r="H496" i="5" l="1"/>
  <c r="H420" i="5"/>
  <c r="J353" i="5"/>
  <c r="I353" i="5"/>
  <c r="I496" i="5" l="1"/>
  <c r="J496" i="5"/>
  <c r="J420" i="5"/>
  <c r="I420" i="5"/>
  <c r="J8" i="5"/>
  <c r="I8" i="5"/>
  <c r="D657" i="6"/>
  <c r="D656" i="6" s="1"/>
  <c r="D655" i="6" l="1"/>
  <c r="G656" i="6"/>
  <c r="D654" i="6" l="1"/>
  <c r="D668" i="6"/>
  <c r="D653" i="6"/>
  <c r="G653" i="6" s="1"/>
  <c r="D34" i="11"/>
  <c r="G654" i="6"/>
  <c r="G655" i="6"/>
  <c r="G34" i="11" l="1"/>
  <c r="D33" i="11"/>
  <c r="D670" i="6"/>
  <c r="G670" i="6" s="1"/>
  <c r="G668" i="6"/>
  <c r="G33" i="11" l="1"/>
  <c r="D24" i="11"/>
  <c r="G24" i="11" s="1"/>
  <c r="D37" i="11"/>
  <c r="G37" i="11" s="1"/>
</calcChain>
</file>

<file path=xl/sharedStrings.xml><?xml version="1.0" encoding="utf-8"?>
<sst xmlns="http://schemas.openxmlformats.org/spreadsheetml/2006/main" count="2970" uniqueCount="630">
  <si>
    <t>I. OPĆI DIO</t>
  </si>
  <si>
    <t>A. RAČUN PRIHODA</t>
  </si>
  <si>
    <t xml:space="preserve"> PRIHODI POSLOVANJA</t>
  </si>
  <si>
    <t>Razred</t>
  </si>
  <si>
    <t xml:space="preserve">Skupina/podskupina/odjeljak </t>
  </si>
  <si>
    <t>Izvor</t>
  </si>
  <si>
    <t xml:space="preserve">Naziv </t>
  </si>
  <si>
    <t xml:space="preserve">Prihodi poslovanja </t>
  </si>
  <si>
    <t>Prihodi iz nadležnog proračuna i od HZZO-a temeljem ugovornih obveza</t>
  </si>
  <si>
    <t>671</t>
  </si>
  <si>
    <t>Prihodi iz nadležnog proračuna za financiranje redovne djelatnosti proračunskih korisnika</t>
  </si>
  <si>
    <t>6711</t>
  </si>
  <si>
    <t>Prihodi iz nadležnog proračuna za financiranje rashoda poslovanja</t>
  </si>
  <si>
    <t>6712</t>
  </si>
  <si>
    <t>Prihodi iz nadležnog proračuna za nabavu nefinancijske imovine</t>
  </si>
  <si>
    <t>Opći prihodi i primici</t>
  </si>
  <si>
    <t>Pomoći iz inozemstva i od subjekata unutar općeg proračuna</t>
  </si>
  <si>
    <t>633</t>
  </si>
  <si>
    <t>Pomoći proračunu iz drugih proračuna</t>
  </si>
  <si>
    <t>6331</t>
  </si>
  <si>
    <t>Tekuće pomoći proračunu iz drugih proračuna</t>
  </si>
  <si>
    <t>6332</t>
  </si>
  <si>
    <t>Kapitalne pomoći proračunu iz drugih proračuna</t>
  </si>
  <si>
    <t>634</t>
  </si>
  <si>
    <t>Pomoći od izvanproračunskih korisnika</t>
  </si>
  <si>
    <t>6341</t>
  </si>
  <si>
    <t>Tekuće pomoći od HZZ-a, HZZO-a</t>
  </si>
  <si>
    <t>636</t>
  </si>
  <si>
    <t>Pomoći proračunskim korisnicima iz proračuna koji im nije nadležan</t>
  </si>
  <si>
    <t>6361</t>
  </si>
  <si>
    <t>Tekuće pomoći iz državnog proračuna proračunskim korisnicma JLP(R)S</t>
  </si>
  <si>
    <t>638</t>
  </si>
  <si>
    <t>Pomoć temeljem prijenosa EU sredstava</t>
  </si>
  <si>
    <t>6381</t>
  </si>
  <si>
    <t>Tekuće pomoći temeljem prijenosa EU sredstava</t>
  </si>
  <si>
    <t>6382</t>
  </si>
  <si>
    <t>Kapitalna pomoć temeljem prijenosa EU sredstava</t>
  </si>
  <si>
    <t>639</t>
  </si>
  <si>
    <t>Prijenosi između proračunskih korisnika istog proračuna</t>
  </si>
  <si>
    <t>6391</t>
  </si>
  <si>
    <t>Tekući prijenosi između proračunskih korisnika istog proračuna</t>
  </si>
  <si>
    <t>Pomoći</t>
  </si>
  <si>
    <t>Prihodi od imovine</t>
  </si>
  <si>
    <t>Prihodi od financijske imovine</t>
  </si>
  <si>
    <t>Ostali prihodi od financijske imovine</t>
  </si>
  <si>
    <t>Prihodi od upravnih i administrativnih pristojbi, pristojbi po posebnim propisima i nakanda</t>
  </si>
  <si>
    <t>Prihodi po posebnim propisima</t>
  </si>
  <si>
    <t>Ostali nespomenuti prihodi (participacija)</t>
  </si>
  <si>
    <t>673</t>
  </si>
  <si>
    <t>Prihodi od HZZO-a temeljem ugovora</t>
  </si>
  <si>
    <t>6731</t>
  </si>
  <si>
    <t>68</t>
  </si>
  <si>
    <t>Kazne, upravne mjere i ostali prihodi</t>
  </si>
  <si>
    <t>683</t>
  </si>
  <si>
    <t>Ostali prihodi</t>
  </si>
  <si>
    <t>6831</t>
  </si>
  <si>
    <t xml:space="preserve">Ostali prihodi za posebne namjene </t>
  </si>
  <si>
    <t>Ostali prihodi od nefinancijske imovine</t>
  </si>
  <si>
    <t>Prihodi od prodaje proizvoda i robe te pruženih usluga i prihodi od donacija</t>
  </si>
  <si>
    <t>661</t>
  </si>
  <si>
    <t>Prihodi od prodaje proizvoda i robe te pruženih usluga</t>
  </si>
  <si>
    <t>6614</t>
  </si>
  <si>
    <t>Prihod od prodaje proizvoda i usluga</t>
  </si>
  <si>
    <t>6615</t>
  </si>
  <si>
    <t>Prihodi od pruženih usluga</t>
  </si>
  <si>
    <t>31</t>
  </si>
  <si>
    <t xml:space="preserve"> Vlastiti prihodi </t>
  </si>
  <si>
    <t>Donacije od pravnih i fizičkih osoba izvan općeg proračuna i povrat donacija po protestiranim jamstvima</t>
  </si>
  <si>
    <t>Tekuće donacije</t>
  </si>
  <si>
    <t>6632</t>
  </si>
  <si>
    <t>Kapitalne donacije</t>
  </si>
  <si>
    <t>61</t>
  </si>
  <si>
    <t xml:space="preserve">Donacije </t>
  </si>
  <si>
    <t xml:space="preserve">Ostali nespomenuti prihodi </t>
  </si>
  <si>
    <t>Prihodi od prodaje nefinacijske imovine i naknade šteta</t>
  </si>
  <si>
    <t>Prihodi od  prodaje nefinancijske imovine</t>
  </si>
  <si>
    <t>Prihodi od prodaje proizvedene dugotrajne imovine</t>
  </si>
  <si>
    <t>Prihodi od prodaje građevinskih objekata</t>
  </si>
  <si>
    <t>Stambeni objekti</t>
  </si>
  <si>
    <t>Prihodi od prodaje prijevoznih sredstava</t>
  </si>
  <si>
    <t>Prijevozna sredstva u cestovnom prometu</t>
  </si>
  <si>
    <t>Ukupni prihodi</t>
  </si>
  <si>
    <t>RASHODI POSLOVANJA</t>
  </si>
  <si>
    <t>IZVORNI PLAN</t>
  </si>
  <si>
    <t>TEKUĆI PLAN</t>
  </si>
  <si>
    <t xml:space="preserve">Izvršenje tekuće godine I.-IX.2023. </t>
  </si>
  <si>
    <t>3</t>
  </si>
  <si>
    <t>Rashodi poslovanja</t>
  </si>
  <si>
    <t>Rashodi za zaposlene</t>
  </si>
  <si>
    <t>Plaće</t>
  </si>
  <si>
    <t>Plaće za redovan rad</t>
  </si>
  <si>
    <t>3112</t>
  </si>
  <si>
    <t>Plaće u naravi</t>
  </si>
  <si>
    <t>3113</t>
  </si>
  <si>
    <t>Plaće za prekovremeni rad</t>
  </si>
  <si>
    <t>3114</t>
  </si>
  <si>
    <t>Plaća za posebne uvjete rada</t>
  </si>
  <si>
    <t>312</t>
  </si>
  <si>
    <t>Ostali rashodi za zaposlene</t>
  </si>
  <si>
    <t>3121</t>
  </si>
  <si>
    <t>Doprinosi na plaće</t>
  </si>
  <si>
    <t>Doprinosi za obvezno zdravstveno osiguranje</t>
  </si>
  <si>
    <t>Materijalni rashodi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</si>
  <si>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</si>
  <si>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</si>
  <si>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</si>
  <si>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</si>
  <si>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</si>
  <si>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</si>
  <si>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zaposlenih</t>
  </si>
  <si>
    <t>3214</t>
  </si>
  <si>
    <t>Ostale naknade troškova zaposlenima</t>
  </si>
  <si>
    <t>322</t>
  </si>
  <si>
    <t>Rashodi za materijal i energiju</t>
  </si>
  <si>
    <t>3221</t>
  </si>
  <si>
    <t>Uredski materijal i ostali materijalni rashodi</t>
  </si>
  <si>
    <t>3222</t>
  </si>
  <si>
    <t>Materijal i sirovine</t>
  </si>
  <si>
    <t>3223</t>
  </si>
  <si>
    <t>Energija</t>
  </si>
  <si>
    <t>3224</t>
  </si>
  <si>
    <t>Materijal i dijelovi za tekuće i investicijsko održavanje</t>
  </si>
  <si>
    <t>3225</t>
  </si>
  <si>
    <t>Sitan inventar i autogume</t>
  </si>
  <si>
    <t>3227</t>
  </si>
  <si>
    <t>Službena radna i zaštitna odjeća</t>
  </si>
  <si>
    <t>323</t>
  </si>
  <si>
    <t>Rashodi za usluge</t>
  </si>
  <si>
    <t>3231</t>
  </si>
  <si>
    <t>Usluge telefona i pošte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</si>
  <si>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</si>
  <si>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</si>
  <si>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</si>
  <si>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</si>
  <si>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</si>
  <si>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</si>
  <si>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Zakupnine i najamnine</t>
  </si>
  <si>
    <t>Zdravstvene i veterinarske usluge</t>
  </si>
  <si>
    <t>Intelektualne usluge</t>
  </si>
  <si>
    <t>3238</t>
  </si>
  <si>
    <t>Računalne usluge</t>
  </si>
  <si>
    <t>3239</t>
  </si>
  <si>
    <t>Ostale usluge</t>
  </si>
  <si>
    <t xml:space="preserve">Naknade troškova osobama izvan radnog odnosa </t>
  </si>
  <si>
    <t>Ostali nespomenuti rashodi poslovanja</t>
  </si>
  <si>
    <t>3291</t>
  </si>
  <si>
    <t>Naknade za rad predstavničkih i izvršnih tijela, povjerenstava i slično</t>
  </si>
  <si>
    <t>Premija osiguranja</t>
  </si>
  <si>
    <t>Reprezentacija</t>
  </si>
  <si>
    <t>Članarine i norme</t>
  </si>
  <si>
    <t>Pristojbe i naknade</t>
  </si>
  <si>
    <t>Troškovi sudskih postupaka</t>
  </si>
  <si>
    <t>3299</t>
  </si>
  <si>
    <t>Financijski rashodi</t>
  </si>
  <si>
    <t>Ostali financijski rashodi</t>
  </si>
  <si>
    <t>3431</t>
  </si>
  <si>
    <t>Bankarske usluge i usluge platnog prometa</t>
  </si>
  <si>
    <t>Zatezne kamate</t>
  </si>
  <si>
    <t>Ostali nespomenuti financijski rashodi</t>
  </si>
  <si>
    <t>Pomoći dane u iznozemstvo i unutar općeg proračuna</t>
  </si>
  <si>
    <t>Tekući prijenosi između proračunksih korisnika istog proračuna</t>
  </si>
  <si>
    <t>Kapitalni prijenosi između proračunksih korisnika istog proračuna</t>
  </si>
  <si>
    <t>Naknade građanima i kućanstvima na temelju osiguranja i dr nak</t>
  </si>
  <si>
    <t>Ostale naknade građanima i kućanstvima iz proračuna</t>
  </si>
  <si>
    <t>Naknade građanima i kućanstvima u novcu</t>
  </si>
  <si>
    <t>38</t>
  </si>
  <si>
    <t>381</t>
  </si>
  <si>
    <t>Tekuće donacije u novcu</t>
  </si>
  <si>
    <t>3811</t>
  </si>
  <si>
    <t>Kazne, penali i naknade štete</t>
  </si>
  <si>
    <t>Naknade štete pravnim i fizičkim osobama</t>
  </si>
  <si>
    <t>Naknada šteta zaposlenicima</t>
  </si>
  <si>
    <t>Ugovorne kazne i ostale naknade štete</t>
  </si>
  <si>
    <t>Ostale kazne</t>
  </si>
  <si>
    <t>Rashodi za nabavu nefinancijske imovine</t>
  </si>
  <si>
    <t>41</t>
  </si>
  <si>
    <t>Rashodi za nabavu neproizvedene dugotrajne imovine</t>
  </si>
  <si>
    <t>411</t>
  </si>
  <si>
    <t>Materijalna imovina - prirodna bogatstva</t>
  </si>
  <si>
    <t>4111</t>
  </si>
  <si>
    <t>Građevinsko zemljište</t>
  </si>
  <si>
    <t>Nematerijalna imovina - licence</t>
  </si>
  <si>
    <t>Licence</t>
  </si>
  <si>
    <t>Rashodi za nabavu proizvedene dug. imovine</t>
  </si>
  <si>
    <t>Postrojenja i oprema</t>
  </si>
  <si>
    <t>4221</t>
  </si>
  <si>
    <t>Uredska oprema i namještaj</t>
  </si>
  <si>
    <t>4222</t>
  </si>
  <si>
    <t>Komunikacijska oprema</t>
  </si>
  <si>
    <t>Oprema za održavanje iz zaštitu</t>
  </si>
  <si>
    <t>Medicinska i laboratorijska oprema</t>
  </si>
  <si>
    <t>Instrumenti, uređaji i strojevi</t>
  </si>
  <si>
    <t>Uređaji, strojevi i oprema za ostale namjene</t>
  </si>
  <si>
    <t>Prijevozna sredstva</t>
  </si>
  <si>
    <t xml:space="preserve">Nematerijalna proizvedena imovina </t>
  </si>
  <si>
    <t>Ulaganja u računalne programe</t>
  </si>
  <si>
    <t>45</t>
  </si>
  <si>
    <t>Rashodi za dodatna ulaganja na financijskoj imovini</t>
  </si>
  <si>
    <t>451</t>
  </si>
  <si>
    <t>Dodatna ulaganja na građevinskim objektima</t>
  </si>
  <si>
    <t>4511</t>
  </si>
  <si>
    <t>452</t>
  </si>
  <si>
    <t>Dodatna ulaganja na postrojenjima i opremi</t>
  </si>
  <si>
    <t>4521</t>
  </si>
  <si>
    <t>Dodatna ulaganja na potrojenjima i opremi</t>
  </si>
  <si>
    <t>Negativne tečajne razlike</t>
  </si>
  <si>
    <t>421</t>
  </si>
  <si>
    <t>Građevinski objekti</t>
  </si>
  <si>
    <t>4212</t>
  </si>
  <si>
    <t>Poslovni objekti</t>
  </si>
  <si>
    <t xml:space="preserve">Vlastiti prihodi </t>
  </si>
  <si>
    <t>Plaće za posebne uvjete rada</t>
  </si>
  <si>
    <t>313</t>
  </si>
  <si>
    <t>3132</t>
  </si>
  <si>
    <t>Doprinosi za obvezno zdravstveno osiguranje zaštite zdr na radu</t>
  </si>
  <si>
    <t>321</t>
  </si>
  <si>
    <t>3235</t>
  </si>
  <si>
    <t>3236</t>
  </si>
  <si>
    <t>3237</t>
  </si>
  <si>
    <t>329</t>
  </si>
  <si>
    <t>Ostali rashodi poslovanja</t>
  </si>
  <si>
    <t>3293</t>
  </si>
  <si>
    <t>3295</t>
  </si>
  <si>
    <t>422</t>
  </si>
  <si>
    <t xml:space="preserve">Pomoći </t>
  </si>
  <si>
    <t>3131</t>
  </si>
  <si>
    <t>Doprinosi za mirovinsko osiguranje</t>
  </si>
  <si>
    <t>Pomoći EU</t>
  </si>
  <si>
    <t>4223</t>
  </si>
  <si>
    <t>4224</t>
  </si>
  <si>
    <t>4225</t>
  </si>
  <si>
    <t>3292</t>
  </si>
  <si>
    <t>426</t>
  </si>
  <si>
    <t>4262</t>
  </si>
  <si>
    <t>71</t>
  </si>
  <si>
    <t>Prihodi od nefinancijske imovine i nadoknade šteta s osnova osiguranja</t>
  </si>
  <si>
    <t>Ukupni rashodi</t>
  </si>
  <si>
    <t>Županija</t>
  </si>
  <si>
    <t xml:space="preserve">PRIHODI PREMA EKONOMSKOJ KLASIFIKACIJI </t>
  </si>
  <si>
    <t>SAVJET: PRVO POPUNITE PRETHODNI LIST</t>
  </si>
  <si>
    <t>Pomoći od međunaodnih organizacija te institucija i tijela EU</t>
  </si>
  <si>
    <t>Kapitalne pomoći od instucija i tijela EU</t>
  </si>
  <si>
    <t>Pomoć proračunu iz drugih proračuna</t>
  </si>
  <si>
    <t>OVA TABLICA AUTOMATSKI POVLAČI IZNOSE IZ PRETHODNOG LISTA (PRIHODI PO EK KLAS I IZVORIMA)</t>
  </si>
  <si>
    <t>Tekuća pomoć proračunu iz drugih proračuna</t>
  </si>
  <si>
    <t>UKOLIKO STE U PRVOM LISTU DODAVALI RAČUNE MORATI ĆETE I U OVOME LISTU NAPRAVITI IZMJENE U FORMULI RAČUNA NA KOJI SE IZMJENA ODNOSI</t>
  </si>
  <si>
    <t>Kapitalna pomoć proračunu iz drugih proračuna</t>
  </si>
  <si>
    <t xml:space="preserve">Tekuće pomoći od izvanproračunskih korisnika </t>
  </si>
  <si>
    <t>Pomoć proračunskim korisnicima iz prorač.koji im nije nadležan</t>
  </si>
  <si>
    <t>Tekuće pomoći iz državnog prorač. prorač.korisnicima JLP(R)S</t>
  </si>
  <si>
    <t>Pomoć temeljem prijenosa EU</t>
  </si>
  <si>
    <t>kapitalna pomoć temeljem prijenosa EU</t>
  </si>
  <si>
    <t>Prijenosi između proračunskih korisnika</t>
  </si>
  <si>
    <t>Tekući prijenosi između proračunskih korisnika</t>
  </si>
  <si>
    <t>Kamate na oročena sredstva i depozite po viđenju</t>
  </si>
  <si>
    <t>Ostali prihode o financijske imovine</t>
  </si>
  <si>
    <t>Prihodi od prodaje i donacija</t>
  </si>
  <si>
    <t>Prihodi od prodaje roba i pruženih usluga (vlastiti prihodi)</t>
  </si>
  <si>
    <t>Prihodi od prodaje proizvoda i robe</t>
  </si>
  <si>
    <t>Donacije od pravnih i fizičkih osoba izvan proračuna</t>
  </si>
  <si>
    <t>Prihodi iz nadležnog proračuna i HZZOa</t>
  </si>
  <si>
    <t>Prihodi od HZZO-a</t>
  </si>
  <si>
    <t xml:space="preserve">     UKUPNO PRIHODI I PRIMICI:</t>
  </si>
  <si>
    <t>SAŽETAK  RAČUNA PRIHODA I RASHODA I  RAČUNA FINANCIRANJA</t>
  </si>
  <si>
    <t>EUR</t>
  </si>
  <si>
    <t>BROJČANA OZNAKA I NAZIV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</si>
  <si>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</si>
  <si>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</si>
  <si>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</si>
  <si>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</si>
  <si>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</si>
  <si>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</si>
  <si>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MANJAK</t>
  </si>
  <si>
    <t>8 PRIMICI OD FINANCIJSKE IMOVINE I ZADUŽIVANJA</t>
  </si>
  <si>
    <t>5 IZDACI ZA FINANCIJSKU IMOVINU I OTPLATE ZAJMOVA</t>
  </si>
  <si>
    <t>PRENESENI VIŠAK / MANJAK IZ PRETHODNE(IH) GODINE</t>
  </si>
  <si>
    <t>A. RAČUN PRIHODA I RASHODA</t>
  </si>
  <si>
    <t>Izvršenje prethodne godine I.-VI. 2022.</t>
  </si>
  <si>
    <t>REBALANS 2023.</t>
  </si>
  <si>
    <t xml:space="preserve"> RASHODI POSLOVANJA</t>
  </si>
  <si>
    <t>Plaće (Bruto)</t>
  </si>
  <si>
    <t xml:space="preserve">Doprinosi na plaće </t>
  </si>
  <si>
    <t xml:space="preserve">Doprinosi za obavezno zdravst.osig. </t>
  </si>
  <si>
    <t>Naknade za prijevoz</t>
  </si>
  <si>
    <t>Materijal i dijelovi za tekuće i invest. održavanja</t>
  </si>
  <si>
    <t>Usluge telefona, pošte</t>
  </si>
  <si>
    <t>Naknade osobama izvan radnog odnosa</t>
  </si>
  <si>
    <t>Naknade tr.osobama izvan radnog odnosa</t>
  </si>
  <si>
    <t>Naknade za rad izvršnih tijela</t>
  </si>
  <si>
    <t>Financijski  rashodi</t>
  </si>
  <si>
    <t>Bankarske i usluge platnog prometa</t>
  </si>
  <si>
    <t xml:space="preserve">Ostali nespomenuti financijski rashodi </t>
  </si>
  <si>
    <t>Pomoći dane u inozemstvo i unutar općeg proračuna</t>
  </si>
  <si>
    <t>Tekući prijenosi između proračunskog korisnika istog proračuna</t>
  </si>
  <si>
    <t>Kapitalni prijenosi između proračunskih korisnika istog proračuna</t>
  </si>
  <si>
    <t xml:space="preserve">Ostali rashodi </t>
  </si>
  <si>
    <t>Naknada štete pravnim i fizičkim osobama</t>
  </si>
  <si>
    <t>Naknade šteta zaposlenicima</t>
  </si>
  <si>
    <t>Ostali izvanredni rashodi</t>
  </si>
  <si>
    <t>Rashodi za nabavu neproizvedene dugotrajne  imovine</t>
  </si>
  <si>
    <t>Rashodi za nabavu proizvedene dugotrajne  imovine</t>
  </si>
  <si>
    <t>Oprema za održavanje i zaštitu</t>
  </si>
  <si>
    <t>Nematerijalna proizvedena imovina</t>
  </si>
  <si>
    <t>UKUPNI RASHODI I IZDACI:</t>
  </si>
  <si>
    <t xml:space="preserve">KORIŠTENJE DEC-a SREDSTAVA ŽUPANIJE </t>
  </si>
  <si>
    <t>Ostale nespomenute usluge</t>
  </si>
  <si>
    <t>II. POSEBNI DIO</t>
  </si>
  <si>
    <t xml:space="preserve"> Rashodi i izdaci po izvorima financiranja i ekonomskoj klasifikaciji raspoređenih u programe, aktivnosti i projekte</t>
  </si>
  <si>
    <t>Šifra</t>
  </si>
  <si>
    <t>Naziv</t>
  </si>
  <si>
    <t>PROGRAM</t>
  </si>
  <si>
    <t>RAD I RAZVOJ USTANOVE</t>
  </si>
  <si>
    <t>AKTIVNOST</t>
  </si>
  <si>
    <t xml:space="preserve">Redovna djelatnost </t>
  </si>
  <si>
    <t>3133</t>
  </si>
  <si>
    <t>Intelktualne usluge</t>
  </si>
  <si>
    <t>Prijenosi između prorač kor istog proračuna</t>
  </si>
  <si>
    <t>Kapitalni prijenosi između proračunskih korinsika istog prorač</t>
  </si>
  <si>
    <t>Naknade građanima i kućanstvima na temelju osig i dr nak</t>
  </si>
  <si>
    <t>Naknade građanima i kućanstvima iz proračuna</t>
  </si>
  <si>
    <t>Naknade šteta pravnim i fizičkim osobama</t>
  </si>
  <si>
    <t>Materijal i dijelovi za tek i invest održavanje</t>
  </si>
  <si>
    <t>Zaštitna odjeća i obuća</t>
  </si>
  <si>
    <t>3294</t>
  </si>
  <si>
    <t>3296</t>
  </si>
  <si>
    <t>34</t>
  </si>
  <si>
    <t>343</t>
  </si>
  <si>
    <t>3432</t>
  </si>
  <si>
    <t>3433</t>
  </si>
  <si>
    <t>3434</t>
  </si>
  <si>
    <t>37</t>
  </si>
  <si>
    <t>372</t>
  </si>
  <si>
    <t>3721</t>
  </si>
  <si>
    <t>383</t>
  </si>
  <si>
    <t>3834</t>
  </si>
  <si>
    <t>Ugovorne naknade i ostale naknade</t>
  </si>
  <si>
    <t>3835</t>
  </si>
  <si>
    <t>384</t>
  </si>
  <si>
    <t>Rashodi iz proteklih godina</t>
  </si>
  <si>
    <t>3842</t>
  </si>
  <si>
    <t>Ostali rashodi</t>
  </si>
  <si>
    <t>4</t>
  </si>
  <si>
    <t>412</t>
  </si>
  <si>
    <t>4123</t>
  </si>
  <si>
    <t>42</t>
  </si>
  <si>
    <t>4227</t>
  </si>
  <si>
    <t>423</t>
  </si>
  <si>
    <t>4231</t>
  </si>
  <si>
    <t>Ulaganja u računalna programe</t>
  </si>
  <si>
    <t>3833</t>
  </si>
  <si>
    <t>Naknade štete zaposlenicima</t>
  </si>
  <si>
    <t>KORIŠTENJE DEC-a SREDSTAVA ŽUPANIJE</t>
  </si>
  <si>
    <t>11</t>
  </si>
  <si>
    <t>Opći prihod i primitak</t>
  </si>
  <si>
    <t>Rashodi za nabavu proizvedene dugotrajne imovine</t>
  </si>
  <si>
    <t>Redovan program financiranja zdravstvenih ustanova iznad minimalnih standarda (pripravnost vozača saniteta u Iloku)</t>
  </si>
  <si>
    <t>32</t>
  </si>
  <si>
    <t>Redovan program financiranja zdravstvenih ustanova iznad minimalnih standarda (dodatna zdravstvena skrb braniteljske populacije-pregled usne šupljine)</t>
  </si>
  <si>
    <t>Redovan program financiranja zdravstvenih ustanova iznad minimalnih standarda (dodatna zdravstvena zaštita i promicanje dojenja)</t>
  </si>
  <si>
    <t>Program financiranja zdravstvenih ustanova iz fondova EU (projekt specijalističko usavršavanje doktora medicine iz obiteljske medicine)</t>
  </si>
  <si>
    <t>52</t>
  </si>
  <si>
    <t>Program obavljanja neophodnih aktivnosti zbog epidemije korona virusa</t>
  </si>
  <si>
    <t>36</t>
  </si>
  <si>
    <t>369</t>
  </si>
  <si>
    <t>3691</t>
  </si>
  <si>
    <t>Tekući prijenosi između proračunskih korisnika istog prorač.</t>
  </si>
  <si>
    <t>Sveukupno (kl.3 i kl.4)</t>
  </si>
  <si>
    <t xml:space="preserve">A. RAČUN PRIHODA I RASHODA </t>
  </si>
  <si>
    <t>IZVJEŠTAJ O RASHODIMA PREMA FUNKCIJSKOJ KLASIFIKACIJI</t>
  </si>
  <si>
    <t xml:space="preserve">UKUPNO RASHODI </t>
  </si>
  <si>
    <t>07 Zdravstvo</t>
  </si>
  <si>
    <t>072 Služba za vanjske pacijente</t>
  </si>
  <si>
    <t>0721 Opće medicinske usluge</t>
  </si>
  <si>
    <t>0722 Specijalističke med. usluge</t>
  </si>
  <si>
    <t>0723 Zubarske usluge</t>
  </si>
  <si>
    <t>073 Bolničke službe</t>
  </si>
  <si>
    <t>0731 Usluge općih bolnica</t>
  </si>
  <si>
    <t>074 Službe javnog zdravstva</t>
  </si>
  <si>
    <t xml:space="preserve">RASHODI PREMA EKONOMSKOJ KLASIFIKACIJI </t>
  </si>
  <si>
    <t>PRIHODI PREMA EKONOMSKOJ KLASIFIKACIJI I IZVORIMA FINANCIRANJA</t>
  </si>
  <si>
    <t>RASHODI PREMA EKONOMSKOJ KLASIFIKACIJI I IZVORIMA FINANCIRANJA</t>
  </si>
  <si>
    <t>Plaće po sudskim presudama</t>
  </si>
  <si>
    <t>Ostali nenavedeni rashodi za zaposlene</t>
  </si>
  <si>
    <t>Ostali rashodi za zaposlene-nagrade</t>
  </si>
  <si>
    <t>Otpremnine</t>
  </si>
  <si>
    <t>Darovi</t>
  </si>
  <si>
    <t>Naknade za bolest, invalidnost i smrt</t>
  </si>
  <si>
    <t>Regres za godišnji odmor</t>
  </si>
  <si>
    <t>Dnevnice za službeni put u zemlji</t>
  </si>
  <si>
    <t>Naknade za prijevoz, odvojeni život</t>
  </si>
  <si>
    <t>Naknade za smještaj na službenom putu u zemlji</t>
  </si>
  <si>
    <t>Naknade za prijevoz na službenom putu u zemlji</t>
  </si>
  <si>
    <t>Seminari, savjetovanja i simpoziji</t>
  </si>
  <si>
    <t>Tečajevi i stručni ispiti</t>
  </si>
  <si>
    <t>Naknada za korištenje privatnog automobila u službene svrhe</t>
  </si>
  <si>
    <t>Uredski materijal</t>
  </si>
  <si>
    <t>Literatura</t>
  </si>
  <si>
    <t>Materijal i sredstva za čišćenje i održavanje</t>
  </si>
  <si>
    <t>Službena, radna i zaštitna odjeća</t>
  </si>
  <si>
    <t>Ostali materijal za potrebe redovnog poslovanja</t>
  </si>
  <si>
    <t>Potrošni medicinski materijal</t>
  </si>
  <si>
    <t>Lijekovi</t>
  </si>
  <si>
    <t>Ostali materijal i sirovine</t>
  </si>
  <si>
    <t>Motorni benzin i dizel gorivo</t>
  </si>
  <si>
    <t>Električna energija</t>
  </si>
  <si>
    <t>Topla voda</t>
  </si>
  <si>
    <t>Plin</t>
  </si>
  <si>
    <t>Materijal i dijelovi za tekuće i invest. održavanje građevinskih objekata</t>
  </si>
  <si>
    <t>Materijal i dijelovi za tekuće i invest. održavanje transportnih sredstava</t>
  </si>
  <si>
    <t>Materijal i dijelovi za tekuće i invest. održavanje postrojenja i opreme</t>
  </si>
  <si>
    <t>Ostali materijal i dijelovi za tekuće i invest. održavanje</t>
  </si>
  <si>
    <t>Usluge telefona, telefaksa</t>
  </si>
  <si>
    <t>Poštarina</t>
  </si>
  <si>
    <t>Usluge tekućeg i investicijskog održavanja prijevoznih sredstava</t>
  </si>
  <si>
    <t>Usluge tekućeg i investicijskog održavanja građevinskih objekata</t>
  </si>
  <si>
    <t>Usluge tekućeg i investicijskog održavanja postrojenja i opreme</t>
  </si>
  <si>
    <t>Ostale usluge promidžbe i informiranja</t>
  </si>
  <si>
    <t>Opskrba vodom</t>
  </si>
  <si>
    <t>Iznošenje i odvoz smeća</t>
  </si>
  <si>
    <t>Deratizacija i dezinsekcija</t>
  </si>
  <si>
    <t>Ostale komunalne usluge</t>
  </si>
  <si>
    <t>Ostale zakupnine i najamnine</t>
  </si>
  <si>
    <t>Ostale zdravstvene i veterinarske usluge</t>
  </si>
  <si>
    <t>Ugovori o djelu</t>
  </si>
  <si>
    <t>Usluge odvjetnika i pravnog savjetovanja</t>
  </si>
  <si>
    <t>Ostale računalne usluge</t>
  </si>
  <si>
    <t>Usluge pri registraciji prijevoznih sredstava</t>
  </si>
  <si>
    <t>Usluge čišćenja, pranja i slično</t>
  </si>
  <si>
    <t>Premije osiguranja zaposlenih</t>
  </si>
  <si>
    <t>Premije osiguranja</t>
  </si>
  <si>
    <t>Premije osiguranja ostale imovine</t>
  </si>
  <si>
    <t>Premije osiguranja prijevoznih sredstava</t>
  </si>
  <si>
    <t>Tuzemne članarine</t>
  </si>
  <si>
    <t>Ostale pristojbe i naknade</t>
  </si>
  <si>
    <t>Sudske pristojbe</t>
  </si>
  <si>
    <t>Javnobilježničke pristojbe</t>
  </si>
  <si>
    <t>Rashodi protokola (vijenci, cvijeće, svijeće i slično)</t>
  </si>
  <si>
    <t>Naknade ostalih troškova</t>
  </si>
  <si>
    <t>Usluge platnog prometa</t>
  </si>
  <si>
    <t>Zatezne kamate na poreze</t>
  </si>
  <si>
    <t>Zatezne kamate za doprinose</t>
  </si>
  <si>
    <t>Zatezne kamate iz poslovnih odnosa</t>
  </si>
  <si>
    <t>Ostale zatezne kamate</t>
  </si>
  <si>
    <t>Pomoći obiteljima i kućanstvima</t>
  </si>
  <si>
    <t>Stipendije i školarine</t>
  </si>
  <si>
    <t>Računala i računalna oprema</t>
  </si>
  <si>
    <t>Uredski namještaj</t>
  </si>
  <si>
    <t>Ostala uredska oprema</t>
  </si>
  <si>
    <t>Oprema za održavanje prostorija</t>
  </si>
  <si>
    <t>Oprema za grijanje, ventilaciju i hlađenje</t>
  </si>
  <si>
    <t>Medicinska oprema</t>
  </si>
  <si>
    <t>Laboratorijska oprema</t>
  </si>
  <si>
    <t>Osobni automobili</t>
  </si>
  <si>
    <t>Sufinanciranje cijene usluge, participacija</t>
  </si>
  <si>
    <t>Prihodi od osiguranja i refundacije štete</t>
  </si>
  <si>
    <t>Refundacija plaća specijalizanata</t>
  </si>
  <si>
    <t>67111</t>
  </si>
  <si>
    <t>67121</t>
  </si>
  <si>
    <t>63414</t>
  </si>
  <si>
    <t>63612</t>
  </si>
  <si>
    <t>63814</t>
  </si>
  <si>
    <t>67311</t>
  </si>
  <si>
    <t>68311</t>
  </si>
  <si>
    <t>66151</t>
  </si>
  <si>
    <t>66313</t>
  </si>
  <si>
    <t>6631</t>
  </si>
  <si>
    <t>31111</t>
  </si>
  <si>
    <t>31113</t>
  </si>
  <si>
    <t>31131</t>
  </si>
  <si>
    <t>31141</t>
  </si>
  <si>
    <t>31212</t>
  </si>
  <si>
    <t>31213</t>
  </si>
  <si>
    <t>31214</t>
  </si>
  <si>
    <t>31215</t>
  </si>
  <si>
    <t>31216</t>
  </si>
  <si>
    <t>31219</t>
  </si>
  <si>
    <t>31321</t>
  </si>
  <si>
    <t>32121</t>
  </si>
  <si>
    <t>32141</t>
  </si>
  <si>
    <t>32221</t>
  </si>
  <si>
    <t>32226</t>
  </si>
  <si>
    <t>32229</t>
  </si>
  <si>
    <t>32231</t>
  </si>
  <si>
    <t>32232</t>
  </si>
  <si>
    <t>32233</t>
  </si>
  <si>
    <t>32234</t>
  </si>
  <si>
    <t>32251</t>
  </si>
  <si>
    <t>32271</t>
  </si>
  <si>
    <t>32311</t>
  </si>
  <si>
    <t>32313</t>
  </si>
  <si>
    <t>32339</t>
  </si>
  <si>
    <t>Ostale intelektualne usluge</t>
  </si>
  <si>
    <t>32412</t>
  </si>
  <si>
    <t>Pomoći obitelji i kućanstvima</t>
  </si>
  <si>
    <t>41112</t>
  </si>
  <si>
    <t>Ostali instrumenti, uređaji i strojevi</t>
  </si>
  <si>
    <t>45111</t>
  </si>
  <si>
    <t>32115</t>
  </si>
  <si>
    <t>32132</t>
  </si>
  <si>
    <t>32211</t>
  </si>
  <si>
    <t>32369</t>
  </si>
  <si>
    <t>32372</t>
  </si>
  <si>
    <t>32399</t>
  </si>
  <si>
    <t>32921</t>
  </si>
  <si>
    <t>Premija osiguranja prijevoznih sredstava</t>
  </si>
  <si>
    <t>42241</t>
  </si>
  <si>
    <t>32389</t>
  </si>
  <si>
    <t>3111</t>
  </si>
  <si>
    <t>32111</t>
  </si>
  <si>
    <t>42212</t>
  </si>
  <si>
    <t>42231</t>
  </si>
  <si>
    <t>42273</t>
  </si>
  <si>
    <t>32321</t>
  </si>
  <si>
    <t>32322</t>
  </si>
  <si>
    <t>32323</t>
  </si>
  <si>
    <t>42211</t>
  </si>
  <si>
    <t>32113</t>
  </si>
  <si>
    <t>Naknada za korištenje privatnog autoobila u službene svrhe</t>
  </si>
  <si>
    <t>32131</t>
  </si>
  <si>
    <t>32212</t>
  </si>
  <si>
    <t>32214</t>
  </si>
  <si>
    <t>32215</t>
  </si>
  <si>
    <t>32219</t>
  </si>
  <si>
    <t>Ostale sirovine</t>
  </si>
  <si>
    <t>32241</t>
  </si>
  <si>
    <t>32242</t>
  </si>
  <si>
    <t>32243</t>
  </si>
  <si>
    <t>32244</t>
  </si>
  <si>
    <t>32341</t>
  </si>
  <si>
    <t>32342</t>
  </si>
  <si>
    <t>32343</t>
  </si>
  <si>
    <t>Usluge odvjetnika i pravnog savjetnika</t>
  </si>
  <si>
    <t>Tuzemna članarine</t>
  </si>
  <si>
    <t>42219</t>
  </si>
  <si>
    <t>Materijal i dijelovi za tek i invest održavanje građ. objekata</t>
  </si>
  <si>
    <t>32931</t>
  </si>
  <si>
    <t xml:space="preserve">Materijal i dijelovi za tekuće i investicijsko održavanje </t>
  </si>
  <si>
    <t>Materijal i dijelovi za tekuće i investicijsko održavanje građ. objekata</t>
  </si>
  <si>
    <t>3226</t>
  </si>
  <si>
    <t>Ostale  usluge</t>
  </si>
  <si>
    <t>Naknade za rad predstavničkih i izvršnih tijela, povjerenstava i sl.</t>
  </si>
  <si>
    <t>SAŽETAK  RAČUNA PRIHODA I RASHODA</t>
  </si>
  <si>
    <t>SAŽETAK RAČUNA FINANCIRANJA</t>
  </si>
  <si>
    <t>PRENESENI VIŠAK ILI PRENESENI MANJAK</t>
  </si>
  <si>
    <t>VIŠAK/MANJAK IZ PRETHODNE GODINE KOJI ĆE SE RASPOREDITI/POKRITI</t>
  </si>
  <si>
    <t>RAZLIKA PRIMITAKA I IZDATAKA</t>
  </si>
  <si>
    <t>6=5/3*100</t>
  </si>
  <si>
    <t>Indeks</t>
  </si>
  <si>
    <t>63313</t>
  </si>
  <si>
    <t>Tekuće potpore iz gradskog proračuna</t>
  </si>
  <si>
    <t>Prihodi od zateznih kamata</t>
  </si>
  <si>
    <t>7=5/4*100</t>
  </si>
  <si>
    <t>B. RAČUN FINANCIRANJA - prema ekonomskoj klasifikaciji i prema izvorima financiranja</t>
  </si>
  <si>
    <t>Skupina</t>
  </si>
  <si>
    <t xml:space="preserve">Izvršenje tekuće godine              I.-XII.2022. </t>
  </si>
  <si>
    <t>IZVORNI PLAN ILI REBALANS</t>
  </si>
  <si>
    <t>6=5/2*100</t>
  </si>
  <si>
    <t>Primici od financijske imovine i zaduživanja</t>
  </si>
  <si>
    <t>Primici od zaduživanja</t>
  </si>
  <si>
    <t>842</t>
  </si>
  <si>
    <t>Primljeni krediti i zajmovi od kreditnih i ostalih financijskih institucija u javnom sektoru</t>
  </si>
  <si>
    <t>Primljeni krediti od kreditnih institucija u javnom sektoru</t>
  </si>
  <si>
    <t>Namjenski primici od zaduživanja</t>
  </si>
  <si>
    <t>Izdaci za financijsku imovinu i otplate zajmova</t>
  </si>
  <si>
    <t>Izdaci za otplatu glavnice primljenih kredita i zajmova</t>
  </si>
  <si>
    <t>542</t>
  </si>
  <si>
    <t>Otplata glavnice primljenih kredita i zajmova od kreditnih i ostalih financijskih institucija u javnom sektoru</t>
  </si>
  <si>
    <t>5422</t>
  </si>
  <si>
    <t>Otplata glavnice primljenih kredita od kreditnih institucija u javnom sektoru</t>
  </si>
  <si>
    <t>31332</t>
  </si>
  <si>
    <t>Doprinosi za obvezno osiguranje u slučaju nezaposlenosti</t>
  </si>
  <si>
    <t>Doprinosi za zapošljavanje</t>
  </si>
  <si>
    <t xml:space="preserve">UKUPNO PRIHODI </t>
  </si>
  <si>
    <t xml:space="preserve">   11 Opći prihodi i primici</t>
  </si>
  <si>
    <t xml:space="preserve">   31 Vlastiti prihodi</t>
  </si>
  <si>
    <t xml:space="preserve">   43 Prihodi za posebne namjene (HZZO)</t>
  </si>
  <si>
    <t xml:space="preserve">   43 Prihodi za posebne namjene (dopunsko osiguranje, participacija,…)</t>
  </si>
  <si>
    <t xml:space="preserve">   43 Ostali prihodi</t>
  </si>
  <si>
    <t xml:space="preserve">   52 Ostale pomoći</t>
  </si>
  <si>
    <t xml:space="preserve">   61 Donacije</t>
  </si>
  <si>
    <t xml:space="preserve">   71 Prihodi od nefinancijske imovine i naknade štete s naslova osiguranja</t>
  </si>
  <si>
    <t xml:space="preserve">   43 Prihodi za posebne namjene</t>
  </si>
  <si>
    <t>PRIHODI I RASHODI PREMA IZVORIMA FINANCIRANJA</t>
  </si>
  <si>
    <t>R.br.</t>
  </si>
  <si>
    <t>Prihodi od nefinancijske imovine i naknade štete s naslova osiguranja</t>
  </si>
  <si>
    <t>Donacije</t>
  </si>
  <si>
    <t>Vlastiti prihodi</t>
  </si>
  <si>
    <t>Prihodi za posebne namjene</t>
  </si>
  <si>
    <t>Opis</t>
  </si>
  <si>
    <t>Ostvareno</t>
  </si>
  <si>
    <t>Naknade građanima i kućanstvima na temelju osiguranja i druge naknade</t>
  </si>
  <si>
    <t>32319</t>
  </si>
  <si>
    <t>Ostale usluge za komunikaciju i prijevoz</t>
  </si>
  <si>
    <t>Geodetsko-katastarske usluge</t>
  </si>
  <si>
    <t>6=5/4*100</t>
  </si>
  <si>
    <t>Materijal i dijelovi za tekuće i invest. održavanje građ. objekata</t>
  </si>
  <si>
    <t>Program dodjele financijskih sredstava Ministarstva zdravstva u području prevencije ovisnosti i ponašajnih ovisnosti "Stop ovisnostima"</t>
  </si>
  <si>
    <t>Kapitalne pomoći iz državnog proračuna proračunskim korisnicima JLP(R)S</t>
  </si>
  <si>
    <t>63312</t>
  </si>
  <si>
    <t>Tekuće potpore iz županijskog proračuna</t>
  </si>
  <si>
    <t>66153</t>
  </si>
  <si>
    <t>Prihodi za udio troškova u zakupu</t>
  </si>
  <si>
    <t>32379</t>
  </si>
  <si>
    <t>32394</t>
  </si>
  <si>
    <t>32923</t>
  </si>
  <si>
    <t>32999</t>
  </si>
  <si>
    <t>63622</t>
  </si>
  <si>
    <t>6362</t>
  </si>
  <si>
    <t>IZVORNI PLAN ZA 2025.</t>
  </si>
  <si>
    <t>TEKUĆI PLAN 2025.</t>
  </si>
  <si>
    <t>Materijal i dijelovi za tek uće i investicijsko održavanje</t>
  </si>
  <si>
    <t>Program dodjele financijskih sredstava HEP-a na ime naknade za proizvod ZelEn (Fotonaponska elektrana na krovištu Doma zdravlja Vukovar)</t>
  </si>
  <si>
    <t>Kombi vozila</t>
  </si>
  <si>
    <t>Dopunsko osiguranje</t>
  </si>
  <si>
    <t xml:space="preserve"> IZVJEŠTAJ O IZVRŠENJU FINANCIJSKOG PLANA DOMA ZDRAVLJA VUKOVAR ZA RAZDOBLJE OD 01.01. DO 30.06.2025. GODINE</t>
  </si>
  <si>
    <t>OSTVARENJE/IZVRŠENJE 1.-6.2025.</t>
  </si>
  <si>
    <t xml:space="preserve">Izvršenje tekuće godine              I.-VI.2025. </t>
  </si>
  <si>
    <t xml:space="preserve">Izvršenje tekuće godine I.-VI.2025. </t>
  </si>
  <si>
    <t>OSTVARENJE/ IZVRŠENJE 1.-6.2025.</t>
  </si>
  <si>
    <t>325</t>
  </si>
  <si>
    <t>3251</t>
  </si>
  <si>
    <t>32511</t>
  </si>
  <si>
    <t>32513</t>
  </si>
  <si>
    <t>Rashodi po osnovi utroška lijekova</t>
  </si>
  <si>
    <t>Rashodi po osnovi utroška potrošnog medicinskog materijala</t>
  </si>
  <si>
    <t>Nepredviđeni rashodi do visine proračunske pričuve</t>
  </si>
  <si>
    <t>Izvanredni rashodi</t>
  </si>
  <si>
    <t>Izvorni plan 2025.</t>
  </si>
  <si>
    <t xml:space="preserve">Plan </t>
  </si>
  <si>
    <t>OSTVARENJE/IZVRŠENJE 1.-6.2024.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</si>
</sst>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kn&quot;_-;\-* #,##0.00\ &quot;kn&quot;_-;_-* &quot;-&quot;??\ &quot;kn&quot;_-;_-@_-"/>
    <numFmt numFmtId="165" formatCode="_-* #,##0.00\ [$€-1]_-;\-* #,##0.00\ [$€-1]_-;_-* &quot;-&quot;??\ [$€-1]_-;_-@_-"/>
    <numFmt numFmtId="166" formatCode="_-* #,##0.00\ [$€-41A]_-;\-* #,##0.00\ [$€-41A]_-;_-* &quot;-&quot;??\ [$€-41A]_-;_-@_-"/>
  </numFmts>
  <fonts count="1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2060"/>
      <name val="Calibri"/>
      <family val="2"/>
    </font>
    <font>
      <b/>
      <sz val="12"/>
      <color rgb="FF002060"/>
      <name val="Calibri"/>
      <family val="2"/>
      <scheme val="minor"/>
    </font>
    <font>
      <sz val="10"/>
      <color rgb="FF000000"/>
      <name val="Arial"/>
      <family val="2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2"/>
      <color theme="3" tint="-0.249977111117893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i/>
      <sz val="8"/>
      <color rgb="FF002060"/>
      <name val="Calibri"/>
      <family val="2"/>
      <scheme val="minor"/>
    </font>
    <font>
      <i/>
      <sz val="8"/>
      <color rgb="FF002060"/>
      <name val="Calibri"/>
      <family val="2"/>
      <charset val="238"/>
      <scheme val="minor"/>
    </font>
    <font>
      <i/>
      <sz val="8"/>
      <color rgb="FF00206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2060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sz val="11"/>
      <color theme="8" tint="-0.499984740745262"/>
      <name val="Calibri"/>
      <family val="2"/>
      <charset val="238"/>
      <scheme val="minor"/>
    </font>
    <font>
      <i/>
      <sz val="11"/>
      <color rgb="FF002060"/>
      <name val="Calibri"/>
      <family val="2"/>
      <charset val="238"/>
      <scheme val="minor"/>
    </font>
    <font>
      <sz val="11"/>
      <color theme="3" tint="-0.249977111117893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rgb="FF002060"/>
      <name val="Calibri"/>
      <family val="2"/>
      <charset val="238"/>
      <scheme val="minor"/>
    </font>
    <font>
      <sz val="12"/>
      <color rgb="FF00206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i/>
      <sz val="11"/>
      <color rgb="FF002060"/>
      <name val="Calibri"/>
      <family val="2"/>
      <scheme val="minor"/>
    </font>
    <font>
      <sz val="10"/>
      <color indexed="8"/>
      <name val="MS Sans Serif"/>
      <family val="2"/>
      <charset val="238"/>
    </font>
    <font>
      <i/>
      <sz val="11"/>
      <color rgb="FF00206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rgb="FF002060"/>
      <name val="Calibri"/>
      <family val="2"/>
      <charset val="238"/>
      <scheme val="minor"/>
    </font>
    <font>
      <b/>
      <i/>
      <sz val="11"/>
      <color rgb="FF000000"/>
      <name val="Calibri"/>
      <family val="2"/>
      <charset val="238"/>
      <scheme val="minor"/>
    </font>
    <font>
      <b/>
      <sz val="11"/>
      <color theme="3" tint="-0.499984740745262"/>
      <name val="Calibri"/>
      <family val="2"/>
      <charset val="238"/>
      <scheme val="minor"/>
    </font>
    <font>
      <sz val="11"/>
      <color theme="3" tint="-0.499984740745262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theme="3" tint="-0.249977111117893"/>
      <name val="Calibri"/>
      <family val="2"/>
      <charset val="238"/>
      <scheme val="minor"/>
    </font>
    <font>
      <sz val="12"/>
      <color rgb="FF002060"/>
      <name val="Calibri"/>
      <family val="2"/>
      <scheme val="minor"/>
    </font>
    <font>
      <b/>
      <i/>
      <sz val="11"/>
      <color theme="8" tint="-0.499984740745262"/>
      <name val="Calibri"/>
      <family val="2"/>
      <scheme val="minor"/>
    </font>
    <font>
      <b/>
      <i/>
      <sz val="11"/>
      <color theme="8" tint="-0.49998474074526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0"/>
      <color theme="3" tint="-0.499984740745262"/>
      <name val="Arial"/>
      <family val="2"/>
      <charset val="238"/>
    </font>
    <font>
      <sz val="10"/>
      <color theme="3" tint="-0.499984740745262"/>
      <name val="Arial"/>
      <family val="2"/>
    </font>
    <font>
      <b/>
      <sz val="12"/>
      <color theme="3" tint="-0.249977111117893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b/>
      <sz val="14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2"/>
      <name val="Calibri"/>
      <family val="2"/>
    </font>
    <font>
      <b/>
      <sz val="12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0"/>
      <color rgb="FF000000"/>
      <name val="Arial"/>
      <family val="2"/>
    </font>
    <font>
      <b/>
      <sz val="11"/>
      <name val="Calibri"/>
      <family val="2"/>
      <scheme val="minor"/>
    </font>
    <font>
      <i/>
      <sz val="8"/>
      <name val="Calibri"/>
      <family val="2"/>
      <charset val="238"/>
      <scheme val="minor"/>
    </font>
    <font>
      <sz val="8"/>
      <color rgb="FF000000"/>
      <name val="Arial"/>
      <family val="2"/>
    </font>
    <font>
      <sz val="11"/>
      <color theme="3" tint="-0.24997711111789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i/>
      <sz val="12"/>
      <color rgb="FF00206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sz val="12"/>
      <color theme="3" tint="-0.499984740745262"/>
      <name val="Calibri"/>
      <family val="2"/>
      <scheme val="minor"/>
    </font>
    <font>
      <i/>
      <sz val="12"/>
      <color rgb="FF002060"/>
      <name val="Calibri"/>
      <family val="2"/>
      <charset val="238"/>
      <scheme val="minor"/>
    </font>
    <font>
      <b/>
      <i/>
      <sz val="14"/>
      <color rgb="FF002060"/>
      <name val="Calibri"/>
      <family val="2"/>
      <scheme val="minor"/>
    </font>
    <font>
      <b/>
      <i/>
      <sz val="12"/>
      <color rgb="FF002060"/>
      <name val="Calibri"/>
      <family val="2"/>
      <charset val="238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sz val="12"/>
      <color rgb="FF002060"/>
      <name val="Calibri"/>
      <family val="2"/>
    </font>
    <font>
      <b/>
      <sz val="11"/>
      <color rgb="FF002060"/>
      <name val="Calibri"/>
      <family val="2"/>
    </font>
    <font>
      <sz val="11"/>
      <color rgb="FF000000"/>
      <name val="Calibri"/>
      <family val="2"/>
    </font>
    <font>
      <b/>
      <i/>
      <sz val="8"/>
      <color rgb="FF002060"/>
      <name val="Calibri"/>
      <family val="2"/>
    </font>
    <font>
      <i/>
      <sz val="8"/>
      <color rgb="FF000000"/>
      <name val="Calibri"/>
      <family val="2"/>
    </font>
    <font>
      <b/>
      <i/>
      <sz val="11"/>
      <color rgb="FF002060"/>
      <name val="Calibri"/>
      <family val="2"/>
    </font>
    <font>
      <b/>
      <sz val="11"/>
      <color rgb="FF000000"/>
      <name val="Calibri"/>
      <family val="2"/>
      <charset val="238"/>
    </font>
    <font>
      <sz val="11"/>
      <color rgb="FF00206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2"/>
      <color theme="8" tint="-0.499984740745262"/>
      <name val="Calibri"/>
      <family val="2"/>
      <scheme val="minor"/>
    </font>
    <font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b/>
      <sz val="11"/>
      <color rgb="FF002060"/>
      <name val="Calibri"/>
      <family val="2"/>
      <charset val="238"/>
    </font>
    <font>
      <sz val="12"/>
      <color rgb="FF000000"/>
      <name val="Calibri"/>
      <family val="2"/>
      <scheme val="minor"/>
    </font>
    <font>
      <b/>
      <i/>
      <sz val="9"/>
      <color rgb="FF002060"/>
      <name val="Calibri"/>
      <family val="2"/>
      <scheme val="minor"/>
    </font>
    <font>
      <b/>
      <i/>
      <sz val="9"/>
      <color theme="3" tint="-0.249977111117893"/>
      <name val="Calibri"/>
      <family val="2"/>
      <charset val="238"/>
      <scheme val="minor"/>
    </font>
    <font>
      <i/>
      <sz val="9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4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8"/>
      <name val="Calibri"/>
      <family val="2"/>
      <scheme val="minor"/>
    </font>
    <font>
      <b/>
      <sz val="11"/>
      <color theme="4" tint="-0.499984740745262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206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206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2060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6" fillId="0" borderId="0"/>
    <xf numFmtId="164" fontId="34" fillId="0" borderId="0" applyFont="0" applyFill="0" applyBorder="0" applyAlignment="0" applyProtection="0"/>
    <xf numFmtId="0" fontId="6" fillId="0" borderId="0"/>
    <xf numFmtId="0" fontId="1" fillId="0" borderId="0"/>
    <xf numFmtId="0" fontId="62" fillId="0" borderId="0"/>
    <xf numFmtId="0" fontId="1" fillId="0" borderId="0"/>
  </cellStyleXfs>
  <cellXfs count="942">
    <xf numFmtId="0" fontId="0" fillId="0" borderId="0" xfId="0"/>
    <xf numFmtId="0" fontId="4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vertical="center"/>
    </xf>
    <xf numFmtId="3" fontId="7" fillId="0" borderId="0" xfId="3" applyNumberFormat="1" applyFont="1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/>
    </xf>
    <xf numFmtId="165" fontId="5" fillId="2" borderId="0" xfId="2" applyNumberFormat="1" applyFont="1" applyFill="1" applyAlignment="1">
      <alignment horizontal="center" vertical="center" wrapText="1"/>
    </xf>
    <xf numFmtId="3" fontId="8" fillId="4" borderId="2" xfId="3" applyNumberFormat="1" applyFont="1" applyFill="1" applyBorder="1" applyAlignment="1">
      <alignment horizontal="center" vertical="center" wrapText="1"/>
    </xf>
    <xf numFmtId="3" fontId="8" fillId="5" borderId="2" xfId="3" applyNumberFormat="1" applyFont="1" applyFill="1" applyBorder="1" applyAlignment="1">
      <alignment horizontal="center" vertical="center" wrapText="1"/>
    </xf>
    <xf numFmtId="3" fontId="8" fillId="4" borderId="2" xfId="3" applyNumberFormat="1" applyFont="1" applyFill="1" applyBorder="1" applyAlignment="1">
      <alignment horizontal="center" vertical="center"/>
    </xf>
    <xf numFmtId="165" fontId="5" fillId="4" borderId="3" xfId="3" applyNumberFormat="1" applyFont="1" applyFill="1" applyBorder="1" applyAlignment="1">
      <alignment horizontal="center" vertical="center" wrapText="1"/>
    </xf>
    <xf numFmtId="0" fontId="5" fillId="4" borderId="3" xfId="3" applyFont="1" applyFill="1" applyBorder="1" applyAlignment="1">
      <alignment horizontal="center" vertical="center" wrapText="1"/>
    </xf>
    <xf numFmtId="0" fontId="10" fillId="0" borderId="0" xfId="3" applyFont="1" applyAlignment="1">
      <alignment vertical="center"/>
    </xf>
    <xf numFmtId="0" fontId="12" fillId="3" borderId="2" xfId="3" applyFont="1" applyFill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/>
    </xf>
    <xf numFmtId="3" fontId="8" fillId="6" borderId="2" xfId="3" applyNumberFormat="1" applyFont="1" applyFill="1" applyBorder="1" applyAlignment="1">
      <alignment horizontal="center" vertical="center" wrapText="1"/>
    </xf>
    <xf numFmtId="3" fontId="8" fillId="6" borderId="2" xfId="3" applyNumberFormat="1" applyFont="1" applyFill="1" applyBorder="1" applyAlignment="1">
      <alignment horizontal="right" vertical="center" wrapText="1"/>
    </xf>
    <xf numFmtId="3" fontId="8" fillId="6" borderId="2" xfId="3" applyNumberFormat="1" applyFont="1" applyFill="1" applyBorder="1" applyAlignment="1">
      <alignment horizontal="left" vertical="center"/>
    </xf>
    <xf numFmtId="165" fontId="8" fillId="6" borderId="2" xfId="3" applyNumberFormat="1" applyFont="1" applyFill="1" applyBorder="1" applyAlignment="1">
      <alignment horizontal="right" vertical="center" wrapText="1"/>
    </xf>
    <xf numFmtId="3" fontId="8" fillId="0" borderId="0" xfId="3" applyNumberFormat="1" applyFont="1" applyAlignment="1">
      <alignment vertical="center"/>
    </xf>
    <xf numFmtId="0" fontId="14" fillId="0" borderId="0" xfId="3" applyFont="1" applyAlignment="1">
      <alignment vertical="center"/>
    </xf>
    <xf numFmtId="0" fontId="10" fillId="0" borderId="2" xfId="3" applyFont="1" applyBorder="1" applyAlignment="1">
      <alignment vertical="center"/>
    </xf>
    <xf numFmtId="49" fontId="8" fillId="7" borderId="2" xfId="3" applyNumberFormat="1" applyFont="1" applyFill="1" applyBorder="1" applyAlignment="1">
      <alignment horizontal="right" vertical="center"/>
    </xf>
    <xf numFmtId="49" fontId="8" fillId="7" borderId="2" xfId="3" applyNumberFormat="1" applyFont="1" applyFill="1" applyBorder="1" applyAlignment="1">
      <alignment horizontal="center" vertical="center"/>
    </xf>
    <xf numFmtId="49" fontId="8" fillId="7" borderId="2" xfId="3" applyNumberFormat="1" applyFont="1" applyFill="1" applyBorder="1" applyAlignment="1">
      <alignment horizontal="left" vertical="center" wrapText="1"/>
    </xf>
    <xf numFmtId="165" fontId="15" fillId="7" borderId="2" xfId="3" applyNumberFormat="1" applyFont="1" applyFill="1" applyBorder="1" applyAlignment="1">
      <alignment horizontal="right" vertical="center"/>
    </xf>
    <xf numFmtId="49" fontId="8" fillId="3" borderId="2" xfId="3" applyNumberFormat="1" applyFont="1" applyFill="1" applyBorder="1" applyAlignment="1">
      <alignment horizontal="right" vertical="center"/>
    </xf>
    <xf numFmtId="49" fontId="8" fillId="3" borderId="2" xfId="3" applyNumberFormat="1" applyFont="1" applyFill="1" applyBorder="1" applyAlignment="1">
      <alignment horizontal="center" vertical="center"/>
    </xf>
    <xf numFmtId="49" fontId="8" fillId="3" borderId="2" xfId="3" applyNumberFormat="1" applyFont="1" applyFill="1" applyBorder="1" applyAlignment="1">
      <alignment horizontal="left" vertical="center" wrapText="1"/>
    </xf>
    <xf numFmtId="165" fontId="15" fillId="3" borderId="2" xfId="3" applyNumberFormat="1" applyFont="1" applyFill="1" applyBorder="1" applyAlignment="1">
      <alignment horizontal="right" vertical="center"/>
    </xf>
    <xf numFmtId="49" fontId="16" fillId="3" borderId="2" xfId="3" applyNumberFormat="1" applyFont="1" applyFill="1" applyBorder="1" applyAlignment="1">
      <alignment horizontal="right" vertical="center"/>
    </xf>
    <xf numFmtId="49" fontId="16" fillId="3" borderId="2" xfId="3" applyNumberFormat="1" applyFont="1" applyFill="1" applyBorder="1" applyAlignment="1">
      <alignment horizontal="center" vertical="center"/>
    </xf>
    <xf numFmtId="49" fontId="16" fillId="3" borderId="2" xfId="3" applyNumberFormat="1" applyFont="1" applyFill="1" applyBorder="1" applyAlignment="1">
      <alignment horizontal="left" vertical="center" wrapText="1"/>
    </xf>
    <xf numFmtId="165" fontId="16" fillId="3" borderId="2" xfId="3" applyNumberFormat="1" applyFont="1" applyFill="1" applyBorder="1" applyAlignment="1">
      <alignment horizontal="right" vertical="center"/>
    </xf>
    <xf numFmtId="0" fontId="17" fillId="0" borderId="2" xfId="3" applyFont="1" applyBorder="1" applyAlignment="1">
      <alignment vertical="center"/>
    </xf>
    <xf numFmtId="0" fontId="17" fillId="0" borderId="2" xfId="3" applyFont="1" applyBorder="1" applyAlignment="1">
      <alignment horizontal="right" vertical="center"/>
    </xf>
    <xf numFmtId="0" fontId="18" fillId="8" borderId="2" xfId="3" applyFont="1" applyFill="1" applyBorder="1" applyAlignment="1">
      <alignment horizontal="center" vertical="center"/>
    </xf>
    <xf numFmtId="49" fontId="18" fillId="8" borderId="2" xfId="3" applyNumberFormat="1" applyFont="1" applyFill="1" applyBorder="1" applyAlignment="1">
      <alignment horizontal="left" vertical="center" wrapText="1"/>
    </xf>
    <xf numFmtId="165" fontId="18" fillId="8" borderId="2" xfId="3" applyNumberFormat="1" applyFont="1" applyFill="1" applyBorder="1" applyAlignment="1">
      <alignment horizontal="right" vertical="center"/>
    </xf>
    <xf numFmtId="3" fontId="17" fillId="0" borderId="0" xfId="3" applyNumberFormat="1" applyFont="1" applyAlignment="1">
      <alignment vertical="center"/>
    </xf>
    <xf numFmtId="0" fontId="17" fillId="0" borderId="0" xfId="3" applyFont="1" applyAlignment="1">
      <alignment vertical="center"/>
    </xf>
    <xf numFmtId="0" fontId="14" fillId="0" borderId="2" xfId="3" applyFont="1" applyBorder="1" applyAlignment="1">
      <alignment vertical="center"/>
    </xf>
    <xf numFmtId="165" fontId="8" fillId="7" borderId="2" xfId="3" applyNumberFormat="1" applyFont="1" applyFill="1" applyBorder="1" applyAlignment="1">
      <alignment horizontal="right" vertical="center"/>
    </xf>
    <xf numFmtId="49" fontId="8" fillId="0" borderId="2" xfId="3" applyNumberFormat="1" applyFont="1" applyBorder="1" applyAlignment="1">
      <alignment horizontal="right" vertical="center"/>
    </xf>
    <xf numFmtId="49" fontId="8" fillId="0" borderId="2" xfId="3" applyNumberFormat="1" applyFont="1" applyBorder="1" applyAlignment="1">
      <alignment horizontal="center" vertical="center"/>
    </xf>
    <xf numFmtId="49" fontId="8" fillId="0" borderId="2" xfId="3" applyNumberFormat="1" applyFont="1" applyBorder="1" applyAlignment="1">
      <alignment horizontal="left" vertical="center" wrapText="1"/>
    </xf>
    <xf numFmtId="165" fontId="8" fillId="0" borderId="2" xfId="3" applyNumberFormat="1" applyFont="1" applyBorder="1" applyAlignment="1">
      <alignment horizontal="right" vertical="center"/>
    </xf>
    <xf numFmtId="0" fontId="19" fillId="0" borderId="2" xfId="3" applyFont="1" applyBorder="1" applyAlignment="1">
      <alignment vertical="center"/>
    </xf>
    <xf numFmtId="49" fontId="16" fillId="0" borderId="2" xfId="3" applyNumberFormat="1" applyFont="1" applyBorder="1" applyAlignment="1">
      <alignment horizontal="right" vertical="center"/>
    </xf>
    <xf numFmtId="49" fontId="16" fillId="0" borderId="2" xfId="3" applyNumberFormat="1" applyFont="1" applyBorder="1" applyAlignment="1">
      <alignment horizontal="left" vertical="center" wrapText="1"/>
    </xf>
    <xf numFmtId="165" fontId="16" fillId="0" borderId="2" xfId="3" applyNumberFormat="1" applyFont="1" applyBorder="1" applyAlignment="1">
      <alignment horizontal="right" vertical="center"/>
    </xf>
    <xf numFmtId="3" fontId="16" fillId="0" borderId="0" xfId="3" applyNumberFormat="1" applyFont="1" applyAlignment="1">
      <alignment vertical="center"/>
    </xf>
    <xf numFmtId="0" fontId="19" fillId="0" borderId="0" xfId="3" applyFont="1" applyAlignment="1">
      <alignment vertical="center"/>
    </xf>
    <xf numFmtId="49" fontId="8" fillId="4" borderId="2" xfId="3" applyNumberFormat="1" applyFont="1" applyFill="1" applyBorder="1" applyAlignment="1">
      <alignment horizontal="right" vertical="center"/>
    </xf>
    <xf numFmtId="49" fontId="8" fillId="4" borderId="2" xfId="3" applyNumberFormat="1" applyFont="1" applyFill="1" applyBorder="1" applyAlignment="1">
      <alignment horizontal="center" vertical="center"/>
    </xf>
    <xf numFmtId="49" fontId="8" fillId="4" borderId="2" xfId="3" applyNumberFormat="1" applyFont="1" applyFill="1" applyBorder="1" applyAlignment="1">
      <alignment horizontal="left" vertical="center" wrapText="1"/>
    </xf>
    <xf numFmtId="165" fontId="8" fillId="4" borderId="2" xfId="3" applyNumberFormat="1" applyFont="1" applyFill="1" applyBorder="1" applyAlignment="1">
      <alignment horizontal="right" vertical="center"/>
    </xf>
    <xf numFmtId="49" fontId="7" fillId="4" borderId="2" xfId="3" applyNumberFormat="1" applyFont="1" applyFill="1" applyBorder="1" applyAlignment="1">
      <alignment horizontal="right" vertical="center"/>
    </xf>
    <xf numFmtId="49" fontId="7" fillId="4" borderId="2" xfId="3" applyNumberFormat="1" applyFont="1" applyFill="1" applyBorder="1" applyAlignment="1">
      <alignment horizontal="left" vertical="center" wrapText="1"/>
    </xf>
    <xf numFmtId="165" fontId="7" fillId="4" borderId="2" xfId="3" applyNumberFormat="1" applyFont="1" applyFill="1" applyBorder="1" applyAlignment="1">
      <alignment horizontal="right" vertical="center"/>
    </xf>
    <xf numFmtId="49" fontId="15" fillId="4" borderId="2" xfId="3" applyNumberFormat="1" applyFont="1" applyFill="1" applyBorder="1" applyAlignment="1">
      <alignment horizontal="right" vertical="center"/>
    </xf>
    <xf numFmtId="0" fontId="20" fillId="0" borderId="2" xfId="3" applyFont="1" applyBorder="1" applyAlignment="1">
      <alignment vertical="center"/>
    </xf>
    <xf numFmtId="49" fontId="15" fillId="4" borderId="2" xfId="3" applyNumberFormat="1" applyFont="1" applyFill="1" applyBorder="1" applyAlignment="1">
      <alignment horizontal="left" vertical="center" wrapText="1"/>
    </xf>
    <xf numFmtId="165" fontId="15" fillId="4" borderId="2" xfId="3" applyNumberFormat="1" applyFont="1" applyFill="1" applyBorder="1" applyAlignment="1">
      <alignment horizontal="right" vertical="center"/>
    </xf>
    <xf numFmtId="49" fontId="16" fillId="4" borderId="2" xfId="3" applyNumberFormat="1" applyFont="1" applyFill="1" applyBorder="1" applyAlignment="1">
      <alignment horizontal="right" vertical="center"/>
    </xf>
    <xf numFmtId="49" fontId="16" fillId="4" borderId="2" xfId="3" applyNumberFormat="1" applyFont="1" applyFill="1" applyBorder="1" applyAlignment="1">
      <alignment horizontal="left" vertical="center" wrapText="1"/>
    </xf>
    <xf numFmtId="165" fontId="16" fillId="4" borderId="2" xfId="3" applyNumberFormat="1" applyFont="1" applyFill="1" applyBorder="1" applyAlignment="1">
      <alignment horizontal="right" vertical="center"/>
    </xf>
    <xf numFmtId="3" fontId="15" fillId="0" borderId="0" xfId="3" applyNumberFormat="1" applyFont="1" applyAlignment="1">
      <alignment vertical="center"/>
    </xf>
    <xf numFmtId="0" fontId="20" fillId="0" borderId="0" xfId="3" applyFont="1" applyAlignment="1">
      <alignment vertical="center"/>
    </xf>
    <xf numFmtId="3" fontId="21" fillId="0" borderId="0" xfId="3" applyNumberFormat="1" applyFont="1" applyAlignment="1">
      <alignment vertical="center"/>
    </xf>
    <xf numFmtId="0" fontId="15" fillId="9" borderId="2" xfId="3" applyFont="1" applyFill="1" applyBorder="1" applyAlignment="1">
      <alignment horizontal="center" vertical="center"/>
    </xf>
    <xf numFmtId="49" fontId="15" fillId="9" borderId="2" xfId="3" applyNumberFormat="1" applyFont="1" applyFill="1" applyBorder="1" applyAlignment="1">
      <alignment horizontal="left" vertical="center" wrapText="1"/>
    </xf>
    <xf numFmtId="0" fontId="15" fillId="0" borderId="2" xfId="3" applyFont="1" applyBorder="1" applyAlignment="1">
      <alignment horizontal="center" vertical="center"/>
    </xf>
    <xf numFmtId="49" fontId="15" fillId="0" borderId="2" xfId="3" applyNumberFormat="1" applyFont="1" applyBorder="1" applyAlignment="1">
      <alignment horizontal="left" vertical="center" wrapText="1"/>
    </xf>
    <xf numFmtId="165" fontId="22" fillId="0" borderId="2" xfId="3" applyNumberFormat="1" applyFont="1" applyBorder="1" applyAlignment="1">
      <alignment horizontal="right" vertical="center"/>
    </xf>
    <xf numFmtId="165" fontId="23" fillId="0" borderId="2" xfId="3" applyNumberFormat="1" applyFont="1" applyBorder="1" applyAlignment="1">
      <alignment horizontal="right" vertical="center"/>
    </xf>
    <xf numFmtId="0" fontId="8" fillId="7" borderId="2" xfId="3" applyFont="1" applyFill="1" applyBorder="1" applyAlignment="1">
      <alignment horizontal="right" vertical="center"/>
    </xf>
    <xf numFmtId="0" fontId="8" fillId="7" borderId="2" xfId="3" applyFont="1" applyFill="1" applyBorder="1" applyAlignment="1">
      <alignment horizontal="center" vertical="center"/>
    </xf>
    <xf numFmtId="0" fontId="8" fillId="7" borderId="2" xfId="3" applyFont="1" applyFill="1" applyBorder="1" applyAlignment="1">
      <alignment horizontal="left" vertical="center" wrapText="1"/>
    </xf>
    <xf numFmtId="0" fontId="8" fillId="4" borderId="2" xfId="3" applyFont="1" applyFill="1" applyBorder="1" applyAlignment="1">
      <alignment horizontal="right" vertical="center"/>
    </xf>
    <xf numFmtId="0" fontId="8" fillId="4" borderId="2" xfId="3" applyFont="1" applyFill="1" applyBorder="1" applyAlignment="1">
      <alignment horizontal="center" vertical="center"/>
    </xf>
    <xf numFmtId="0" fontId="8" fillId="4" borderId="2" xfId="3" applyFont="1" applyFill="1" applyBorder="1" applyAlignment="1">
      <alignment horizontal="left" vertical="center" wrapText="1"/>
    </xf>
    <xf numFmtId="0" fontId="7" fillId="4" borderId="2" xfId="3" applyFont="1" applyFill="1" applyBorder="1" applyAlignment="1">
      <alignment horizontal="right" vertical="center"/>
    </xf>
    <xf numFmtId="0" fontId="7" fillId="4" borderId="2" xfId="3" applyFont="1" applyFill="1" applyBorder="1" applyAlignment="1">
      <alignment horizontal="center" vertical="center"/>
    </xf>
    <xf numFmtId="0" fontId="7" fillId="4" borderId="2" xfId="3" applyFont="1" applyFill="1" applyBorder="1" applyAlignment="1">
      <alignment horizontal="left" vertical="center" wrapText="1"/>
    </xf>
    <xf numFmtId="49" fontId="15" fillId="4" borderId="2" xfId="3" applyNumberFormat="1" applyFont="1" applyFill="1" applyBorder="1" applyAlignment="1">
      <alignment horizontal="center" vertical="center"/>
    </xf>
    <xf numFmtId="49" fontId="7" fillId="4" borderId="2" xfId="3" applyNumberFormat="1" applyFont="1" applyFill="1" applyBorder="1" applyAlignment="1">
      <alignment horizontal="center" vertical="center"/>
    </xf>
    <xf numFmtId="49" fontId="15" fillId="7" borderId="2" xfId="3" applyNumberFormat="1" applyFont="1" applyFill="1" applyBorder="1" applyAlignment="1">
      <alignment horizontal="right" vertical="center"/>
    </xf>
    <xf numFmtId="49" fontId="15" fillId="7" borderId="2" xfId="3" applyNumberFormat="1" applyFont="1" applyFill="1" applyBorder="1" applyAlignment="1">
      <alignment horizontal="center" vertical="center"/>
    </xf>
    <xf numFmtId="49" fontId="15" fillId="7" borderId="2" xfId="3" applyNumberFormat="1" applyFont="1" applyFill="1" applyBorder="1" applyAlignment="1">
      <alignment horizontal="left" vertical="center" wrapText="1"/>
    </xf>
    <xf numFmtId="0" fontId="24" fillId="0" borderId="2" xfId="3" applyFont="1" applyBorder="1"/>
    <xf numFmtId="0" fontId="25" fillId="0" borderId="2" xfId="3" applyFont="1" applyBorder="1"/>
    <xf numFmtId="165" fontId="15" fillId="9" borderId="2" xfId="3" applyNumberFormat="1" applyFont="1" applyFill="1" applyBorder="1" applyAlignment="1">
      <alignment horizontal="right" vertical="center"/>
    </xf>
    <xf numFmtId="165" fontId="15" fillId="0" borderId="2" xfId="3" applyNumberFormat="1" applyFont="1" applyBorder="1" applyAlignment="1">
      <alignment horizontal="right" vertical="center"/>
    </xf>
    <xf numFmtId="0" fontId="26" fillId="0" borderId="2" xfId="3" applyFont="1" applyBorder="1" applyAlignment="1">
      <alignment horizontal="center" vertical="center"/>
    </xf>
    <xf numFmtId="165" fontId="23" fillId="0" borderId="2" xfId="3" applyNumberFormat="1" applyFont="1" applyBorder="1"/>
    <xf numFmtId="165" fontId="8" fillId="7" borderId="2" xfId="3" applyNumberFormat="1" applyFont="1" applyFill="1" applyBorder="1" applyAlignment="1">
      <alignment horizontal="right" vertical="center" wrapText="1"/>
    </xf>
    <xf numFmtId="165" fontId="8" fillId="4" borderId="2" xfId="3" applyNumberFormat="1" applyFont="1" applyFill="1" applyBorder="1" applyAlignment="1">
      <alignment horizontal="right" vertical="center" wrapText="1"/>
    </xf>
    <xf numFmtId="49" fontId="16" fillId="4" borderId="2" xfId="3" applyNumberFormat="1" applyFont="1" applyFill="1" applyBorder="1" applyAlignment="1">
      <alignment horizontal="center" vertical="center"/>
    </xf>
    <xf numFmtId="165" fontId="16" fillId="4" borderId="2" xfId="3" applyNumberFormat="1" applyFont="1" applyFill="1" applyBorder="1" applyAlignment="1">
      <alignment horizontal="right" vertical="center" wrapText="1"/>
    </xf>
    <xf numFmtId="165" fontId="7" fillId="4" borderId="2" xfId="3" applyNumberFormat="1" applyFont="1" applyFill="1" applyBorder="1" applyAlignment="1">
      <alignment horizontal="right" vertical="center" wrapText="1"/>
    </xf>
    <xf numFmtId="165" fontId="15" fillId="7" borderId="2" xfId="3" applyNumberFormat="1" applyFont="1" applyFill="1" applyBorder="1" applyAlignment="1">
      <alignment horizontal="right" vertical="center" wrapText="1"/>
    </xf>
    <xf numFmtId="165" fontId="15" fillId="4" borderId="2" xfId="3" applyNumberFormat="1" applyFont="1" applyFill="1" applyBorder="1" applyAlignment="1">
      <alignment horizontal="right" vertical="center" wrapText="1"/>
    </xf>
    <xf numFmtId="3" fontId="28" fillId="0" borderId="0" xfId="3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2" xfId="3" applyFont="1" applyBorder="1" applyAlignment="1">
      <alignment horizontal="right" vertical="center"/>
    </xf>
    <xf numFmtId="0" fontId="8" fillId="0" borderId="2" xfId="3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3" borderId="2" xfId="3" applyFont="1" applyFill="1" applyBorder="1" applyAlignment="1">
      <alignment horizontal="center" vertical="center"/>
    </xf>
    <xf numFmtId="49" fontId="7" fillId="3" borderId="2" xfId="3" applyNumberFormat="1" applyFont="1" applyFill="1" applyBorder="1" applyAlignment="1">
      <alignment horizontal="left" vertical="center" wrapText="1"/>
    </xf>
    <xf numFmtId="0" fontId="10" fillId="2" borderId="2" xfId="3" applyFont="1" applyFill="1" applyBorder="1" applyAlignment="1">
      <alignment vertical="center"/>
    </xf>
    <xf numFmtId="0" fontId="14" fillId="0" borderId="2" xfId="3" applyFont="1" applyBorder="1" applyAlignment="1">
      <alignment horizontal="right" vertical="center"/>
    </xf>
    <xf numFmtId="0" fontId="18" fillId="8" borderId="4" xfId="3" applyFont="1" applyFill="1" applyBorder="1" applyAlignment="1">
      <alignment horizontal="center" vertical="center"/>
    </xf>
    <xf numFmtId="49" fontId="18" fillId="8" borderId="4" xfId="3" applyNumberFormat="1" applyFont="1" applyFill="1" applyBorder="1" applyAlignment="1">
      <alignment horizontal="left" vertical="center" wrapText="1"/>
    </xf>
    <xf numFmtId="165" fontId="29" fillId="8" borderId="2" xfId="3" applyNumberFormat="1" applyFont="1" applyFill="1" applyBorder="1" applyAlignment="1">
      <alignment horizontal="right" vertical="center"/>
    </xf>
    <xf numFmtId="0" fontId="20" fillId="10" borderId="2" xfId="3" applyFont="1" applyFill="1" applyBorder="1" applyAlignment="1">
      <alignment vertical="center"/>
    </xf>
    <xf numFmtId="0" fontId="15" fillId="10" borderId="2" xfId="3" applyFont="1" applyFill="1" applyBorder="1" applyAlignment="1">
      <alignment horizontal="center" vertical="center"/>
    </xf>
    <xf numFmtId="49" fontId="15" fillId="10" borderId="2" xfId="3" applyNumberFormat="1" applyFont="1" applyFill="1" applyBorder="1" applyAlignment="1">
      <alignment horizontal="left" vertical="center" wrapText="1"/>
    </xf>
    <xf numFmtId="165" fontId="15" fillId="10" borderId="2" xfId="3" applyNumberFormat="1" applyFont="1" applyFill="1" applyBorder="1" applyAlignment="1">
      <alignment horizontal="right" vertical="center"/>
    </xf>
    <xf numFmtId="0" fontId="20" fillId="9" borderId="2" xfId="3" applyFont="1" applyFill="1" applyBorder="1" applyAlignment="1">
      <alignment vertical="center"/>
    </xf>
    <xf numFmtId="0" fontId="16" fillId="0" borderId="2" xfId="3" applyFont="1" applyBorder="1" applyAlignment="1">
      <alignment horizontal="center" vertical="center"/>
    </xf>
    <xf numFmtId="0" fontId="20" fillId="0" borderId="4" xfId="3" applyFont="1" applyBorder="1" applyAlignment="1">
      <alignment vertical="center"/>
    </xf>
    <xf numFmtId="0" fontId="15" fillId="0" borderId="4" xfId="3" applyFont="1" applyBorder="1" applyAlignment="1">
      <alignment horizontal="center" vertical="center"/>
    </xf>
    <xf numFmtId="49" fontId="15" fillId="0" borderId="4" xfId="3" applyNumberFormat="1" applyFont="1" applyBorder="1" applyAlignment="1">
      <alignment horizontal="left" vertical="center" wrapText="1"/>
    </xf>
    <xf numFmtId="165" fontId="15" fillId="0" borderId="4" xfId="3" applyNumberFormat="1" applyFont="1" applyBorder="1" applyAlignment="1">
      <alignment horizontal="right" vertical="center"/>
    </xf>
    <xf numFmtId="0" fontId="14" fillId="0" borderId="4" xfId="3" applyFont="1" applyBorder="1" applyAlignment="1">
      <alignment vertical="center"/>
    </xf>
    <xf numFmtId="165" fontId="18" fillId="8" borderId="4" xfId="3" applyNumberFormat="1" applyFont="1" applyFill="1" applyBorder="1" applyAlignment="1">
      <alignment horizontal="right" vertical="center"/>
    </xf>
    <xf numFmtId="165" fontId="30" fillId="4" borderId="8" xfId="3" applyNumberFormat="1" applyFont="1" applyFill="1" applyBorder="1" applyAlignment="1">
      <alignment horizontal="right" vertical="center"/>
    </xf>
    <xf numFmtId="3" fontId="31" fillId="0" borderId="0" xfId="3" applyNumberFormat="1" applyFont="1" applyAlignment="1">
      <alignment vertical="center"/>
    </xf>
    <xf numFmtId="0" fontId="32" fillId="0" borderId="0" xfId="3" applyFont="1" applyAlignment="1">
      <alignment vertical="center"/>
    </xf>
    <xf numFmtId="3" fontId="33" fillId="4" borderId="0" xfId="3" applyNumberFormat="1" applyFont="1" applyFill="1" applyAlignment="1">
      <alignment horizontal="center" vertical="center"/>
    </xf>
    <xf numFmtId="165" fontId="33" fillId="4" borderId="0" xfId="3" applyNumberFormat="1" applyFont="1" applyFill="1" applyAlignment="1">
      <alignment horizontal="right" vertical="center"/>
    </xf>
    <xf numFmtId="3" fontId="33" fillId="4" borderId="0" xfId="3" applyNumberFormat="1" applyFont="1" applyFill="1" applyAlignment="1">
      <alignment horizontal="right" vertical="center"/>
    </xf>
    <xf numFmtId="0" fontId="10" fillId="2" borderId="0" xfId="3" applyFont="1" applyFill="1" applyAlignment="1">
      <alignment vertical="center"/>
    </xf>
    <xf numFmtId="165" fontId="33" fillId="4" borderId="0" xfId="3" applyNumberFormat="1" applyFont="1" applyFill="1" applyAlignment="1">
      <alignment horizontal="center" vertical="center"/>
    </xf>
    <xf numFmtId="0" fontId="11" fillId="3" borderId="2" xfId="1" applyNumberFormat="1" applyFont="1" applyFill="1" applyBorder="1" applyAlignment="1">
      <alignment horizontal="center" vertical="center" wrapText="1"/>
    </xf>
    <xf numFmtId="49" fontId="8" fillId="6" borderId="9" xfId="3" applyNumberFormat="1" applyFont="1" applyFill="1" applyBorder="1" applyAlignment="1">
      <alignment horizontal="center" vertical="center"/>
    </xf>
    <xf numFmtId="0" fontId="8" fillId="10" borderId="9" xfId="3" applyFont="1" applyFill="1" applyBorder="1" applyAlignment="1">
      <alignment vertical="center"/>
    </xf>
    <xf numFmtId="49" fontId="8" fillId="6" borderId="9" xfId="3" applyNumberFormat="1" applyFont="1" applyFill="1" applyBorder="1" applyAlignment="1">
      <alignment vertical="center"/>
    </xf>
    <xf numFmtId="165" fontId="8" fillId="6" borderId="9" xfId="3" applyNumberFormat="1" applyFont="1" applyFill="1" applyBorder="1" applyAlignment="1">
      <alignment horizontal="right" vertical="center" wrapText="1"/>
    </xf>
    <xf numFmtId="0" fontId="8" fillId="9" borderId="2" xfId="3" applyFont="1" applyFill="1" applyBorder="1" applyAlignment="1">
      <alignment vertical="center"/>
    </xf>
    <xf numFmtId="49" fontId="8" fillId="7" borderId="2" xfId="3" applyNumberFormat="1" applyFont="1" applyFill="1" applyBorder="1" applyAlignment="1">
      <alignment vertical="center"/>
    </xf>
    <xf numFmtId="0" fontId="7" fillId="0" borderId="2" xfId="3" applyFont="1" applyBorder="1" applyAlignment="1">
      <alignment vertical="center"/>
    </xf>
    <xf numFmtId="49" fontId="7" fillId="0" borderId="2" xfId="3" applyNumberFormat="1" applyFont="1" applyBorder="1" applyAlignment="1">
      <alignment horizontal="right" vertical="center"/>
    </xf>
    <xf numFmtId="165" fontId="7" fillId="0" borderId="2" xfId="3" applyNumberFormat="1" applyFont="1" applyBorder="1" applyAlignment="1">
      <alignment horizontal="right" vertical="center"/>
    </xf>
    <xf numFmtId="3" fontId="35" fillId="0" borderId="0" xfId="3" applyNumberFormat="1" applyFont="1" applyAlignment="1">
      <alignment vertical="center"/>
    </xf>
    <xf numFmtId="0" fontId="36" fillId="0" borderId="0" xfId="3" applyFont="1" applyAlignment="1">
      <alignment vertical="center"/>
    </xf>
    <xf numFmtId="0" fontId="15" fillId="0" borderId="2" xfId="3" applyFont="1" applyBorder="1" applyAlignment="1">
      <alignment vertical="center"/>
    </xf>
    <xf numFmtId="49" fontId="15" fillId="0" borderId="2" xfId="3" applyNumberFormat="1" applyFont="1" applyBorder="1" applyAlignment="1">
      <alignment horizontal="right" vertical="center"/>
    </xf>
    <xf numFmtId="3" fontId="37" fillId="0" borderId="0" xfId="3" applyNumberFormat="1" applyFont="1" applyAlignment="1">
      <alignment vertical="center"/>
    </xf>
    <xf numFmtId="0" fontId="38" fillId="0" borderId="0" xfId="3" applyFont="1" applyAlignment="1">
      <alignment vertical="center"/>
    </xf>
    <xf numFmtId="165" fontId="8" fillId="4" borderId="2" xfId="3" applyNumberFormat="1" applyFont="1" applyFill="1" applyBorder="1" applyAlignment="1">
      <alignment vertical="center"/>
    </xf>
    <xf numFmtId="165" fontId="7" fillId="4" borderId="2" xfId="3" applyNumberFormat="1" applyFont="1" applyFill="1" applyBorder="1" applyAlignment="1">
      <alignment vertical="center"/>
    </xf>
    <xf numFmtId="3" fontId="18" fillId="0" borderId="0" xfId="3" applyNumberFormat="1" applyFont="1" applyAlignment="1">
      <alignment vertical="center"/>
    </xf>
    <xf numFmtId="0" fontId="18" fillId="0" borderId="0" xfId="3" applyFont="1" applyAlignment="1">
      <alignment vertical="center"/>
    </xf>
    <xf numFmtId="0" fontId="7" fillId="0" borderId="2" xfId="3" applyFont="1" applyBorder="1" applyAlignment="1">
      <alignment vertical="center" wrapText="1"/>
    </xf>
    <xf numFmtId="3" fontId="7" fillId="0" borderId="0" xfId="3" applyNumberFormat="1" applyFont="1" applyAlignment="1">
      <alignment horizontal="right" vertical="center"/>
    </xf>
    <xf numFmtId="0" fontId="15" fillId="0" borderId="2" xfId="3" applyFont="1" applyBorder="1" applyAlignment="1">
      <alignment vertical="center" wrapText="1"/>
    </xf>
    <xf numFmtId="49" fontId="7" fillId="4" borderId="2" xfId="3" applyNumberFormat="1" applyFont="1" applyFill="1" applyBorder="1" applyAlignment="1">
      <alignment horizontal="left" vertical="center"/>
    </xf>
    <xf numFmtId="49" fontId="8" fillId="4" borderId="2" xfId="3" applyNumberFormat="1" applyFont="1" applyFill="1" applyBorder="1" applyAlignment="1">
      <alignment horizontal="left" vertical="center"/>
    </xf>
    <xf numFmtId="0" fontId="7" fillId="0" borderId="2" xfId="3" applyFont="1" applyBorder="1" applyAlignment="1">
      <alignment horizontal="right" vertical="center"/>
    </xf>
    <xf numFmtId="49" fontId="7" fillId="0" borderId="2" xfId="3" applyNumberFormat="1" applyFont="1" applyBorder="1" applyAlignment="1">
      <alignment horizontal="left" vertical="center"/>
    </xf>
    <xf numFmtId="0" fontId="15" fillId="9" borderId="2" xfId="3" applyFont="1" applyFill="1" applyBorder="1" applyAlignment="1">
      <alignment horizontal="right" vertical="center"/>
    </xf>
    <xf numFmtId="49" fontId="15" fillId="9" borderId="2" xfId="3" applyNumberFormat="1" applyFont="1" applyFill="1" applyBorder="1" applyAlignment="1">
      <alignment horizontal="left" vertical="center"/>
    </xf>
    <xf numFmtId="0" fontId="15" fillId="0" borderId="2" xfId="3" applyFont="1" applyBorder="1" applyAlignment="1">
      <alignment horizontal="right" vertical="center"/>
    </xf>
    <xf numFmtId="49" fontId="15" fillId="0" borderId="2" xfId="3" applyNumberFormat="1" applyFont="1" applyBorder="1" applyAlignment="1">
      <alignment horizontal="left" vertical="center"/>
    </xf>
    <xf numFmtId="0" fontId="16" fillId="0" borderId="2" xfId="3" applyFont="1" applyBorder="1" applyAlignment="1">
      <alignment vertical="center"/>
    </xf>
    <xf numFmtId="0" fontId="16" fillId="0" borderId="2" xfId="3" applyFont="1" applyBorder="1" applyAlignment="1">
      <alignment horizontal="right" vertical="center"/>
    </xf>
    <xf numFmtId="49" fontId="16" fillId="0" borderId="2" xfId="3" applyNumberFormat="1" applyFont="1" applyBorder="1" applyAlignment="1">
      <alignment horizontal="left" vertical="center"/>
    </xf>
    <xf numFmtId="0" fontId="39" fillId="9" borderId="2" xfId="3" applyFont="1" applyFill="1" applyBorder="1"/>
    <xf numFmtId="0" fontId="39" fillId="0" borderId="2" xfId="3" applyFont="1" applyBorder="1"/>
    <xf numFmtId="0" fontId="40" fillId="0" borderId="2" xfId="3" applyFont="1" applyBorder="1"/>
    <xf numFmtId="49" fontId="8" fillId="0" borderId="2" xfId="3" applyNumberFormat="1" applyFont="1" applyBorder="1" applyAlignment="1">
      <alignment vertical="center"/>
    </xf>
    <xf numFmtId="49" fontId="16" fillId="0" borderId="2" xfId="3" applyNumberFormat="1" applyFont="1" applyBorder="1" applyAlignment="1">
      <alignment vertical="center"/>
    </xf>
    <xf numFmtId="49" fontId="8" fillId="6" borderId="2" xfId="3" applyNumberFormat="1" applyFont="1" applyFill="1" applyBorder="1" applyAlignment="1">
      <alignment horizontal="center" vertical="center"/>
    </xf>
    <xf numFmtId="0" fontId="8" fillId="6" borderId="2" xfId="3" applyFont="1" applyFill="1" applyBorder="1" applyAlignment="1">
      <alignment horizontal="right" vertical="center"/>
    </xf>
    <xf numFmtId="49" fontId="8" fillId="6" borderId="2" xfId="3" applyNumberFormat="1" applyFont="1" applyFill="1" applyBorder="1" applyAlignment="1">
      <alignment horizontal="right" vertical="center"/>
    </xf>
    <xf numFmtId="49" fontId="8" fillId="6" borderId="2" xfId="3" applyNumberFormat="1" applyFont="1" applyFill="1" applyBorder="1" applyAlignment="1">
      <alignment vertical="center"/>
    </xf>
    <xf numFmtId="49" fontId="8" fillId="7" borderId="2" xfId="3" applyNumberFormat="1" applyFont="1" applyFill="1" applyBorder="1" applyAlignment="1">
      <alignment vertical="center" wrapText="1"/>
    </xf>
    <xf numFmtId="49" fontId="15" fillId="0" borderId="2" xfId="3" applyNumberFormat="1" applyFont="1" applyBorder="1" applyAlignment="1">
      <alignment vertical="center" wrapText="1"/>
    </xf>
    <xf numFmtId="49" fontId="16" fillId="0" borderId="2" xfId="3" applyNumberFormat="1" applyFont="1" applyBorder="1" applyAlignment="1">
      <alignment vertical="center" wrapText="1"/>
    </xf>
    <xf numFmtId="49" fontId="8" fillId="4" borderId="2" xfId="3" applyNumberFormat="1" applyFont="1" applyFill="1" applyBorder="1" applyAlignment="1">
      <alignment vertical="center"/>
    </xf>
    <xf numFmtId="0" fontId="16" fillId="4" borderId="2" xfId="3" applyFont="1" applyFill="1" applyBorder="1" applyAlignment="1">
      <alignment horizontal="right" vertical="center"/>
    </xf>
    <xf numFmtId="49" fontId="16" fillId="4" borderId="2" xfId="3" applyNumberFormat="1" applyFont="1" applyFill="1" applyBorder="1" applyAlignment="1">
      <alignment vertical="center"/>
    </xf>
    <xf numFmtId="0" fontId="15" fillId="4" borderId="2" xfId="3" applyFont="1" applyFill="1" applyBorder="1" applyAlignment="1">
      <alignment horizontal="right" vertical="center"/>
    </xf>
    <xf numFmtId="49" fontId="15" fillId="4" borderId="2" xfId="3" applyNumberFormat="1" applyFont="1" applyFill="1" applyBorder="1" applyAlignment="1">
      <alignment vertical="center"/>
    </xf>
    <xf numFmtId="0" fontId="18" fillId="0" borderId="2" xfId="3" applyFont="1" applyBorder="1" applyAlignment="1">
      <alignment vertical="center"/>
    </xf>
    <xf numFmtId="0" fontId="18" fillId="4" borderId="2" xfId="3" applyFont="1" applyFill="1" applyBorder="1" applyAlignment="1">
      <alignment horizontal="center" vertical="center"/>
    </xf>
    <xf numFmtId="165" fontId="18" fillId="5" borderId="2" xfId="3" applyNumberFormat="1" applyFont="1" applyFill="1" applyBorder="1" applyAlignment="1">
      <alignment horizontal="right" vertical="center" wrapText="1"/>
    </xf>
    <xf numFmtId="3" fontId="18" fillId="2" borderId="0" xfId="3" applyNumberFormat="1" applyFont="1" applyFill="1" applyAlignment="1">
      <alignment vertical="center"/>
    </xf>
    <xf numFmtId="0" fontId="18" fillId="2" borderId="0" xfId="3" applyFont="1" applyFill="1" applyAlignment="1">
      <alignment vertical="center"/>
    </xf>
    <xf numFmtId="3" fontId="41" fillId="2" borderId="0" xfId="3" applyNumberFormat="1" applyFont="1" applyFill="1" applyAlignment="1">
      <alignment vertical="center"/>
    </xf>
    <xf numFmtId="0" fontId="41" fillId="2" borderId="0" xfId="3" applyFont="1" applyFill="1" applyAlignment="1">
      <alignment vertical="center"/>
    </xf>
    <xf numFmtId="3" fontId="8" fillId="2" borderId="0" xfId="3" applyNumberFormat="1" applyFont="1" applyFill="1" applyAlignment="1">
      <alignment vertical="center"/>
    </xf>
    <xf numFmtId="0" fontId="14" fillId="2" borderId="0" xfId="3" applyFont="1" applyFill="1" applyAlignment="1">
      <alignment vertical="center"/>
    </xf>
    <xf numFmtId="3" fontId="7" fillId="2" borderId="0" xfId="3" applyNumberFormat="1" applyFont="1" applyFill="1" applyAlignment="1">
      <alignment vertical="center"/>
    </xf>
    <xf numFmtId="0" fontId="42" fillId="9" borderId="2" xfId="3" applyFont="1" applyFill="1" applyBorder="1" applyAlignment="1">
      <alignment horizontal="right" vertical="center"/>
    </xf>
    <xf numFmtId="0" fontId="42" fillId="9" borderId="2" xfId="3" applyFont="1" applyFill="1" applyBorder="1" applyAlignment="1">
      <alignment vertical="center"/>
    </xf>
    <xf numFmtId="0" fontId="42" fillId="9" borderId="2" xfId="3" applyFont="1" applyFill="1" applyBorder="1"/>
    <xf numFmtId="0" fontId="42" fillId="0" borderId="2" xfId="3" applyFont="1" applyBorder="1" applyAlignment="1">
      <alignment horizontal="right" vertical="center"/>
    </xf>
    <xf numFmtId="0" fontId="42" fillId="0" borderId="2" xfId="3" applyFont="1" applyBorder="1" applyAlignment="1">
      <alignment vertical="center"/>
    </xf>
    <xf numFmtId="0" fontId="42" fillId="0" borderId="2" xfId="3" applyFont="1" applyBorder="1"/>
    <xf numFmtId="0" fontId="27" fillId="0" borderId="2" xfId="3" applyFont="1" applyBorder="1" applyAlignment="1">
      <alignment horizontal="right" vertical="center"/>
    </xf>
    <xf numFmtId="0" fontId="27" fillId="0" borderId="2" xfId="3" applyFont="1" applyBorder="1" applyAlignment="1">
      <alignment vertical="center"/>
    </xf>
    <xf numFmtId="0" fontId="27" fillId="0" borderId="2" xfId="3" applyFont="1" applyBorder="1"/>
    <xf numFmtId="3" fontId="43" fillId="0" borderId="0" xfId="3" applyNumberFormat="1" applyFont="1" applyAlignment="1">
      <alignment vertical="center"/>
    </xf>
    <xf numFmtId="49" fontId="15" fillId="0" borderId="2" xfId="3" applyNumberFormat="1" applyFont="1" applyBorder="1" applyAlignment="1">
      <alignment vertical="center"/>
    </xf>
    <xf numFmtId="49" fontId="18" fillId="5" borderId="2" xfId="3" applyNumberFormat="1" applyFont="1" applyFill="1" applyBorder="1" applyAlignment="1">
      <alignment horizontal="right" vertical="center"/>
    </xf>
    <xf numFmtId="49" fontId="18" fillId="5" borderId="2" xfId="3" applyNumberFormat="1" applyFont="1" applyFill="1" applyBorder="1" applyAlignment="1">
      <alignment vertical="center"/>
    </xf>
    <xf numFmtId="165" fontId="18" fillId="8" borderId="2" xfId="3" applyNumberFormat="1" applyFont="1" applyFill="1" applyBorder="1" applyAlignment="1">
      <alignment horizontal="right" vertical="center" wrapText="1"/>
    </xf>
    <xf numFmtId="165" fontId="44" fillId="6" borderId="2" xfId="3" applyNumberFormat="1" applyFont="1" applyFill="1" applyBorder="1" applyAlignment="1">
      <alignment horizontal="right" vertical="center" wrapText="1"/>
    </xf>
    <xf numFmtId="165" fontId="24" fillId="6" borderId="2" xfId="3" applyNumberFormat="1" applyFont="1" applyFill="1" applyBorder="1" applyAlignment="1">
      <alignment horizontal="right" vertical="center" wrapText="1"/>
    </xf>
    <xf numFmtId="165" fontId="7" fillId="0" borderId="2" xfId="3" applyNumberFormat="1" applyFont="1" applyBorder="1" applyAlignment="1">
      <alignment vertical="center"/>
    </xf>
    <xf numFmtId="165" fontId="15" fillId="0" borderId="2" xfId="3" applyNumberFormat="1" applyFont="1" applyBorder="1" applyAlignment="1">
      <alignment vertical="center"/>
    </xf>
    <xf numFmtId="165" fontId="15" fillId="7" borderId="2" xfId="3" applyNumberFormat="1" applyFont="1" applyFill="1" applyBorder="1" applyAlignment="1">
      <alignment vertical="center"/>
    </xf>
    <xf numFmtId="165" fontId="16" fillId="0" borderId="2" xfId="3" applyNumberFormat="1" applyFont="1" applyBorder="1" applyAlignment="1">
      <alignment vertical="center"/>
    </xf>
    <xf numFmtId="165" fontId="15" fillId="4" borderId="2" xfId="3" applyNumberFormat="1" applyFont="1" applyFill="1" applyBorder="1" applyAlignment="1">
      <alignment vertical="center"/>
    </xf>
    <xf numFmtId="165" fontId="16" fillId="4" borderId="2" xfId="3" applyNumberFormat="1" applyFont="1" applyFill="1" applyBorder="1" applyAlignment="1">
      <alignment vertical="center"/>
    </xf>
    <xf numFmtId="49" fontId="15" fillId="10" borderId="2" xfId="3" applyNumberFormat="1" applyFont="1" applyFill="1" applyBorder="1" applyAlignment="1">
      <alignment horizontal="right" vertical="center"/>
    </xf>
    <xf numFmtId="0" fontId="15" fillId="10" borderId="2" xfId="3" applyFont="1" applyFill="1" applyBorder="1" applyAlignment="1">
      <alignment vertical="center"/>
    </xf>
    <xf numFmtId="165" fontId="15" fillId="6" borderId="2" xfId="3" applyNumberFormat="1" applyFont="1" applyFill="1" applyBorder="1" applyAlignment="1">
      <alignment vertical="center"/>
    </xf>
    <xf numFmtId="165" fontId="15" fillId="10" borderId="2" xfId="3" applyNumberFormat="1" applyFont="1" applyFill="1" applyBorder="1" applyAlignment="1">
      <alignment vertical="center"/>
    </xf>
    <xf numFmtId="0" fontId="15" fillId="9" borderId="2" xfId="3" applyFont="1" applyFill="1" applyBorder="1" applyAlignment="1">
      <alignment vertical="center"/>
    </xf>
    <xf numFmtId="49" fontId="15" fillId="7" borderId="2" xfId="3" applyNumberFormat="1" applyFont="1" applyFill="1" applyBorder="1" applyAlignment="1">
      <alignment vertical="center" wrapText="1"/>
    </xf>
    <xf numFmtId="165" fontId="8" fillId="6" borderId="2" xfId="3" applyNumberFormat="1" applyFont="1" applyFill="1" applyBorder="1" applyAlignment="1">
      <alignment horizontal="right" vertical="center"/>
    </xf>
    <xf numFmtId="165" fontId="8" fillId="9" borderId="2" xfId="3" applyNumberFormat="1" applyFont="1" applyFill="1" applyBorder="1" applyAlignment="1">
      <alignment horizontal="right" vertical="center"/>
    </xf>
    <xf numFmtId="0" fontId="24" fillId="10" borderId="2" xfId="3" applyFont="1" applyFill="1" applyBorder="1" applyAlignment="1">
      <alignment horizontal="center" vertical="center"/>
    </xf>
    <xf numFmtId="49" fontId="16" fillId="10" borderId="2" xfId="3" applyNumberFormat="1" applyFont="1" applyFill="1" applyBorder="1" applyAlignment="1">
      <alignment horizontal="right" vertical="center"/>
    </xf>
    <xf numFmtId="0" fontId="16" fillId="10" borderId="2" xfId="3" applyFont="1" applyFill="1" applyBorder="1" applyAlignment="1">
      <alignment vertical="center"/>
    </xf>
    <xf numFmtId="0" fontId="24" fillId="0" borderId="2" xfId="3" applyFont="1" applyBorder="1" applyAlignment="1">
      <alignment horizontal="center" vertical="center"/>
    </xf>
    <xf numFmtId="0" fontId="24" fillId="2" borderId="2" xfId="3" applyFont="1" applyFill="1" applyBorder="1" applyAlignment="1">
      <alignment horizontal="center" vertical="center"/>
    </xf>
    <xf numFmtId="0" fontId="25" fillId="2" borderId="2" xfId="3" applyFont="1" applyFill="1" applyBorder="1" applyAlignment="1">
      <alignment horizontal="center" vertical="center"/>
    </xf>
    <xf numFmtId="0" fontId="45" fillId="2" borderId="2" xfId="3" applyFont="1" applyFill="1" applyBorder="1" applyAlignment="1">
      <alignment horizontal="center" vertical="center"/>
    </xf>
    <xf numFmtId="49" fontId="18" fillId="3" borderId="2" xfId="3" applyNumberFormat="1" applyFont="1" applyFill="1" applyBorder="1" applyAlignment="1">
      <alignment horizontal="right" vertical="center"/>
    </xf>
    <xf numFmtId="165" fontId="22" fillId="10" borderId="2" xfId="3" applyNumberFormat="1" applyFont="1" applyFill="1" applyBorder="1" applyAlignment="1">
      <alignment horizontal="right" vertical="center"/>
    </xf>
    <xf numFmtId="49" fontId="15" fillId="0" borderId="9" xfId="3" applyNumberFormat="1" applyFont="1" applyBorder="1" applyAlignment="1">
      <alignment horizontal="center" vertical="center"/>
    </xf>
    <xf numFmtId="49" fontId="15" fillId="0" borderId="9" xfId="3" applyNumberFormat="1" applyFont="1" applyBorder="1" applyAlignment="1">
      <alignment horizontal="right" vertical="center"/>
    </xf>
    <xf numFmtId="0" fontId="15" fillId="0" borderId="9" xfId="3" applyFont="1" applyBorder="1" applyAlignment="1">
      <alignment vertical="center"/>
    </xf>
    <xf numFmtId="49" fontId="15" fillId="0" borderId="9" xfId="3" applyNumberFormat="1" applyFont="1" applyBorder="1" applyAlignment="1">
      <alignment vertical="center"/>
    </xf>
    <xf numFmtId="49" fontId="16" fillId="0" borderId="9" xfId="3" applyNumberFormat="1" applyFont="1" applyBorder="1" applyAlignment="1">
      <alignment horizontal="center" vertical="center"/>
    </xf>
    <xf numFmtId="49" fontId="16" fillId="0" borderId="9" xfId="3" applyNumberFormat="1" applyFont="1" applyBorder="1" applyAlignment="1">
      <alignment horizontal="right" vertical="center"/>
    </xf>
    <xf numFmtId="0" fontId="16" fillId="0" borderId="9" xfId="3" applyFont="1" applyBorder="1" applyAlignment="1">
      <alignment vertical="center"/>
    </xf>
    <xf numFmtId="49" fontId="16" fillId="0" borderId="9" xfId="3" applyNumberFormat="1" applyFont="1" applyBorder="1" applyAlignment="1">
      <alignment vertical="center"/>
    </xf>
    <xf numFmtId="0" fontId="23" fillId="0" borderId="10" xfId="3" applyFont="1" applyBorder="1" applyAlignment="1">
      <alignment vertical="center"/>
    </xf>
    <xf numFmtId="49" fontId="22" fillId="3" borderId="2" xfId="3" applyNumberFormat="1" applyFont="1" applyFill="1" applyBorder="1" applyAlignment="1">
      <alignment horizontal="right" vertical="center"/>
    </xf>
    <xf numFmtId="49" fontId="46" fillId="0" borderId="2" xfId="3" applyNumberFormat="1" applyFont="1" applyBorder="1" applyAlignment="1">
      <alignment horizontal="right" vertical="center"/>
    </xf>
    <xf numFmtId="49" fontId="22" fillId="0" borderId="2" xfId="3" applyNumberFormat="1" applyFont="1" applyBorder="1" applyAlignment="1">
      <alignment vertical="center"/>
    </xf>
    <xf numFmtId="49" fontId="23" fillId="3" borderId="2" xfId="3" applyNumberFormat="1" applyFont="1" applyFill="1" applyBorder="1" applyAlignment="1">
      <alignment horizontal="right" vertical="center"/>
    </xf>
    <xf numFmtId="49" fontId="18" fillId="0" borderId="2" xfId="3" applyNumberFormat="1" applyFont="1" applyBorder="1" applyAlignment="1">
      <alignment horizontal="right" vertical="center"/>
    </xf>
    <xf numFmtId="49" fontId="23" fillId="0" borderId="2" xfId="3" applyNumberFormat="1" applyFont="1" applyBorder="1" applyAlignment="1">
      <alignment vertical="center"/>
    </xf>
    <xf numFmtId="49" fontId="29" fillId="0" borderId="2" xfId="3" applyNumberFormat="1" applyFont="1" applyBorder="1" applyAlignment="1">
      <alignment horizontal="right" vertical="center"/>
    </xf>
    <xf numFmtId="49" fontId="47" fillId="6" borderId="2" xfId="3" applyNumberFormat="1" applyFont="1" applyFill="1" applyBorder="1" applyAlignment="1">
      <alignment horizontal="right" vertical="center"/>
    </xf>
    <xf numFmtId="49" fontId="15" fillId="6" borderId="2" xfId="3" applyNumberFormat="1" applyFont="1" applyFill="1" applyBorder="1" applyAlignment="1">
      <alignment vertical="center"/>
    </xf>
    <xf numFmtId="165" fontId="24" fillId="6" borderId="2" xfId="3" applyNumberFormat="1" applyFont="1" applyFill="1" applyBorder="1" applyAlignment="1">
      <alignment horizontal="right" vertical="center"/>
    </xf>
    <xf numFmtId="0" fontId="8" fillId="2" borderId="2" xfId="3" applyFont="1" applyFill="1" applyBorder="1" applyAlignment="1">
      <alignment vertical="center"/>
    </xf>
    <xf numFmtId="0" fontId="7" fillId="2" borderId="2" xfId="3" applyFont="1" applyFill="1" applyBorder="1" applyAlignment="1">
      <alignment vertical="center"/>
    </xf>
    <xf numFmtId="0" fontId="7" fillId="2" borderId="4" xfId="3" applyFont="1" applyFill="1" applyBorder="1" applyAlignment="1">
      <alignment vertical="center"/>
    </xf>
    <xf numFmtId="49" fontId="15" fillId="0" borderId="4" xfId="3" applyNumberFormat="1" applyFont="1" applyBorder="1" applyAlignment="1">
      <alignment horizontal="right" vertical="center"/>
    </xf>
    <xf numFmtId="0" fontId="15" fillId="0" borderId="4" xfId="3" applyFont="1" applyBorder="1" applyAlignment="1">
      <alignment vertical="center"/>
    </xf>
    <xf numFmtId="165" fontId="15" fillId="4" borderId="4" xfId="3" applyNumberFormat="1" applyFont="1" applyFill="1" applyBorder="1" applyAlignment="1">
      <alignment horizontal="right" vertical="center"/>
    </xf>
    <xf numFmtId="49" fontId="7" fillId="0" borderId="4" xfId="3" applyNumberFormat="1" applyFont="1" applyBorder="1" applyAlignment="1">
      <alignment horizontal="right" vertical="center"/>
    </xf>
    <xf numFmtId="0" fontId="7" fillId="0" borderId="4" xfId="3" applyFont="1" applyBorder="1" applyAlignment="1">
      <alignment vertical="center"/>
    </xf>
    <xf numFmtId="165" fontId="7" fillId="4" borderId="4" xfId="3" applyNumberFormat="1" applyFont="1" applyFill="1" applyBorder="1" applyAlignment="1">
      <alignment horizontal="right" vertical="center"/>
    </xf>
    <xf numFmtId="0" fontId="18" fillId="2" borderId="4" xfId="3" applyFont="1" applyFill="1" applyBorder="1" applyAlignment="1">
      <alignment vertical="center"/>
    </xf>
    <xf numFmtId="49" fontId="18" fillId="3" borderId="4" xfId="3" applyNumberFormat="1" applyFont="1" applyFill="1" applyBorder="1" applyAlignment="1">
      <alignment horizontal="right" vertical="center"/>
    </xf>
    <xf numFmtId="49" fontId="18" fillId="5" borderId="4" xfId="3" applyNumberFormat="1" applyFont="1" applyFill="1" applyBorder="1" applyAlignment="1">
      <alignment horizontal="right" vertical="center"/>
    </xf>
    <xf numFmtId="49" fontId="18" fillId="5" borderId="4" xfId="3" applyNumberFormat="1" applyFont="1" applyFill="1" applyBorder="1" applyAlignment="1">
      <alignment vertical="center" wrapText="1"/>
    </xf>
    <xf numFmtId="165" fontId="29" fillId="5" borderId="4" xfId="3" applyNumberFormat="1" applyFont="1" applyFill="1" applyBorder="1" applyAlignment="1">
      <alignment horizontal="right" vertical="center"/>
    </xf>
    <xf numFmtId="165" fontId="5" fillId="4" borderId="8" xfId="3" applyNumberFormat="1" applyFont="1" applyFill="1" applyBorder="1" applyAlignment="1">
      <alignment vertical="center"/>
    </xf>
    <xf numFmtId="165" fontId="7" fillId="0" borderId="0" xfId="3" applyNumberFormat="1" applyFont="1" applyAlignment="1">
      <alignment horizontal="center" vertical="center"/>
    </xf>
    <xf numFmtId="3" fontId="15" fillId="11" borderId="0" xfId="3" applyNumberFormat="1" applyFont="1" applyFill="1" applyAlignment="1">
      <alignment horizontal="right" vertical="center"/>
    </xf>
    <xf numFmtId="3" fontId="7" fillId="0" borderId="0" xfId="3" applyNumberFormat="1" applyFont="1" applyAlignment="1">
      <alignment horizontal="center" vertical="center"/>
    </xf>
    <xf numFmtId="4" fontId="37" fillId="0" borderId="0" xfId="3" applyNumberFormat="1" applyFont="1" applyAlignment="1">
      <alignment horizontal="right" vertical="center"/>
    </xf>
    <xf numFmtId="3" fontId="24" fillId="0" borderId="0" xfId="3" applyNumberFormat="1" applyFont="1" applyAlignment="1">
      <alignment vertical="center"/>
    </xf>
    <xf numFmtId="165" fontId="15" fillId="0" borderId="0" xfId="3" applyNumberFormat="1" applyFont="1" applyAlignment="1">
      <alignment vertical="center"/>
    </xf>
    <xf numFmtId="4" fontId="28" fillId="0" borderId="0" xfId="3" applyNumberFormat="1" applyFont="1" applyAlignment="1">
      <alignment vertical="center"/>
    </xf>
    <xf numFmtId="0" fontId="9" fillId="0" borderId="0" xfId="0" applyFont="1" applyAlignment="1">
      <alignment horizontal="center"/>
    </xf>
    <xf numFmtId="0" fontId="27" fillId="0" borderId="0" xfId="0" applyFont="1"/>
    <xf numFmtId="0" fontId="48" fillId="0" borderId="0" xfId="3" applyFont="1" applyAlignment="1">
      <alignment horizontal="center" vertical="center"/>
    </xf>
    <xf numFmtId="3" fontId="22" fillId="4" borderId="2" xfId="3" applyNumberFormat="1" applyFont="1" applyFill="1" applyBorder="1" applyAlignment="1">
      <alignment horizontal="center" vertical="center" wrapText="1"/>
    </xf>
    <xf numFmtId="3" fontId="22" fillId="4" borderId="2" xfId="3" applyNumberFormat="1" applyFont="1" applyFill="1" applyBorder="1" applyAlignment="1">
      <alignment horizontal="center" vertical="center"/>
    </xf>
    <xf numFmtId="3" fontId="51" fillId="4" borderId="2" xfId="3" applyNumberFormat="1" applyFont="1" applyFill="1" applyBorder="1" applyAlignment="1">
      <alignment horizontal="center" vertical="center" wrapText="1"/>
    </xf>
    <xf numFmtId="0" fontId="51" fillId="4" borderId="2" xfId="3" applyFont="1" applyFill="1" applyBorder="1" applyAlignment="1">
      <alignment horizontal="center" vertical="center" wrapText="1"/>
    </xf>
    <xf numFmtId="0" fontId="52" fillId="10" borderId="2" xfId="3" applyFont="1" applyFill="1" applyBorder="1" applyAlignment="1">
      <alignment horizontal="center" vertical="center"/>
    </xf>
    <xf numFmtId="0" fontId="52" fillId="10" borderId="2" xfId="3" applyFont="1" applyFill="1" applyBorder="1" applyAlignment="1">
      <alignment horizontal="center" vertical="center" wrapText="1"/>
    </xf>
    <xf numFmtId="165" fontId="52" fillId="10" borderId="2" xfId="3" applyNumberFormat="1" applyFont="1" applyFill="1" applyBorder="1" applyAlignment="1">
      <alignment horizontal="right" vertical="center"/>
    </xf>
    <xf numFmtId="0" fontId="52" fillId="0" borderId="2" xfId="3" applyFont="1" applyBorder="1" applyAlignment="1">
      <alignment horizontal="center" vertical="center"/>
    </xf>
    <xf numFmtId="0" fontId="52" fillId="9" borderId="2" xfId="3" applyFont="1" applyFill="1" applyBorder="1" applyAlignment="1">
      <alignment horizontal="center" vertical="center" wrapText="1"/>
    </xf>
    <xf numFmtId="0" fontId="52" fillId="9" borderId="2" xfId="3" applyFont="1" applyFill="1" applyBorder="1" applyAlignment="1">
      <alignment horizontal="left" vertical="center"/>
    </xf>
    <xf numFmtId="165" fontId="52" fillId="9" borderId="2" xfId="3" applyNumberFormat="1" applyFont="1" applyFill="1" applyBorder="1" applyAlignment="1">
      <alignment horizontal="right" vertical="center"/>
    </xf>
    <xf numFmtId="0" fontId="3" fillId="0" borderId="0" xfId="0" applyFont="1"/>
    <xf numFmtId="0" fontId="53" fillId="0" borderId="0" xfId="0" applyFont="1"/>
    <xf numFmtId="0" fontId="52" fillId="0" borderId="2" xfId="3" applyFont="1" applyBorder="1" applyAlignment="1">
      <alignment horizontal="center" vertical="center" wrapText="1"/>
    </xf>
    <xf numFmtId="0" fontId="52" fillId="0" borderId="2" xfId="3" applyFont="1" applyBorder="1" applyAlignment="1">
      <alignment horizontal="left" vertical="center" wrapText="1"/>
    </xf>
    <xf numFmtId="165" fontId="52" fillId="0" borderId="2" xfId="3" applyNumberFormat="1" applyFont="1" applyBorder="1" applyAlignment="1">
      <alignment horizontal="right" vertical="center"/>
    </xf>
    <xf numFmtId="0" fontId="54" fillId="0" borderId="2" xfId="3" applyFont="1" applyBorder="1" applyAlignment="1">
      <alignment horizontal="center" vertical="center" wrapText="1"/>
    </xf>
    <xf numFmtId="0" fontId="54" fillId="0" borderId="2" xfId="3" applyFont="1" applyBorder="1" applyAlignment="1">
      <alignment horizontal="left" vertical="center"/>
    </xf>
    <xf numFmtId="165" fontId="54" fillId="0" borderId="2" xfId="3" applyNumberFormat="1" applyFont="1" applyBorder="1" applyAlignment="1">
      <alignment vertical="center"/>
    </xf>
    <xf numFmtId="0" fontId="52" fillId="0" borderId="2" xfId="3" applyFont="1" applyBorder="1" applyAlignment="1">
      <alignment horizontal="left" vertical="center"/>
    </xf>
    <xf numFmtId="0" fontId="55" fillId="0" borderId="0" xfId="0" applyFont="1"/>
    <xf numFmtId="0" fontId="56" fillId="0" borderId="0" xfId="0" applyFont="1"/>
    <xf numFmtId="0" fontId="54" fillId="0" borderId="2" xfId="3" applyFont="1" applyBorder="1" applyAlignment="1">
      <alignment horizontal="center" vertical="center"/>
    </xf>
    <xf numFmtId="0" fontId="54" fillId="0" borderId="2" xfId="3" applyFont="1" applyBorder="1" applyAlignment="1">
      <alignment vertical="center"/>
    </xf>
    <xf numFmtId="0" fontId="52" fillId="0" borderId="2" xfId="3" applyFont="1" applyBorder="1" applyAlignment="1">
      <alignment vertical="center"/>
    </xf>
    <xf numFmtId="165" fontId="52" fillId="0" borderId="2" xfId="3" applyNumberFormat="1" applyFont="1" applyBorder="1" applyAlignment="1">
      <alignment vertical="center"/>
    </xf>
    <xf numFmtId="0" fontId="0" fillId="0" borderId="0" xfId="0" applyAlignment="1">
      <alignment vertical="center"/>
    </xf>
    <xf numFmtId="49" fontId="57" fillId="4" borderId="2" xfId="3" applyNumberFormat="1" applyFont="1" applyFill="1" applyBorder="1" applyAlignment="1">
      <alignment horizontal="left" vertical="center" wrapText="1"/>
    </xf>
    <xf numFmtId="0" fontId="52" fillId="0" borderId="2" xfId="3" applyFont="1" applyBorder="1" applyAlignment="1">
      <alignment vertical="center" wrapText="1"/>
    </xf>
    <xf numFmtId="0" fontId="54" fillId="0" borderId="2" xfId="3" applyFont="1" applyBorder="1" applyAlignment="1">
      <alignment vertical="center" wrapText="1"/>
    </xf>
    <xf numFmtId="0" fontId="52" fillId="9" borderId="2" xfId="3" applyFont="1" applyFill="1" applyBorder="1" applyAlignment="1">
      <alignment horizontal="center" vertical="center"/>
    </xf>
    <xf numFmtId="0" fontId="52" fillId="9" borderId="2" xfId="3" applyFont="1" applyFill="1" applyBorder="1" applyAlignment="1">
      <alignment vertical="center"/>
    </xf>
    <xf numFmtId="165" fontId="52" fillId="9" borderId="2" xfId="3" applyNumberFormat="1" applyFont="1" applyFill="1" applyBorder="1" applyAlignment="1">
      <alignment vertical="center"/>
    </xf>
    <xf numFmtId="0" fontId="52" fillId="2" borderId="2" xfId="3" applyFont="1" applyFill="1" applyBorder="1" applyAlignment="1">
      <alignment horizontal="center" vertical="center"/>
    </xf>
    <xf numFmtId="0" fontId="52" fillId="2" borderId="2" xfId="3" applyFont="1" applyFill="1" applyBorder="1" applyAlignment="1">
      <alignment vertical="center"/>
    </xf>
    <xf numFmtId="165" fontId="52" fillId="2" borderId="2" xfId="3" applyNumberFormat="1" applyFont="1" applyFill="1" applyBorder="1" applyAlignment="1">
      <alignment vertical="center"/>
    </xf>
    <xf numFmtId="0" fontId="54" fillId="2" borderId="2" xfId="3" applyFont="1" applyFill="1" applyBorder="1" applyAlignment="1">
      <alignment horizontal="center" vertical="center"/>
    </xf>
    <xf numFmtId="0" fontId="54" fillId="2" borderId="2" xfId="3" applyFont="1" applyFill="1" applyBorder="1" applyAlignment="1">
      <alignment vertical="center"/>
    </xf>
    <xf numFmtId="165" fontId="54" fillId="2" borderId="2" xfId="3" applyNumberFormat="1" applyFont="1" applyFill="1" applyBorder="1" applyAlignment="1">
      <alignment vertical="center"/>
    </xf>
    <xf numFmtId="49" fontId="52" fillId="7" borderId="2" xfId="3" applyNumberFormat="1" applyFont="1" applyFill="1" applyBorder="1" applyAlignment="1">
      <alignment horizontal="left" vertical="center" wrapText="1"/>
    </xf>
    <xf numFmtId="49" fontId="52" fillId="10" borderId="2" xfId="3" applyNumberFormat="1" applyFont="1" applyFill="1" applyBorder="1" applyAlignment="1">
      <alignment horizontal="left" vertical="center" wrapText="1"/>
    </xf>
    <xf numFmtId="165" fontId="52" fillId="10" borderId="2" xfId="3" applyNumberFormat="1" applyFont="1" applyFill="1" applyBorder="1" applyAlignment="1">
      <alignment vertical="center"/>
    </xf>
    <xf numFmtId="49" fontId="52" fillId="9" borderId="2" xfId="3" applyNumberFormat="1" applyFont="1" applyFill="1" applyBorder="1" applyAlignment="1">
      <alignment horizontal="left" vertical="center" wrapText="1"/>
    </xf>
    <xf numFmtId="165" fontId="58" fillId="12" borderId="2" xfId="3" applyNumberFormat="1" applyFont="1" applyFill="1" applyBorder="1" applyAlignment="1">
      <alignment vertical="center"/>
    </xf>
    <xf numFmtId="0" fontId="59" fillId="0" borderId="0" xfId="0" applyFont="1" applyAlignment="1">
      <alignment horizontal="center" vertical="center" wrapText="1"/>
    </xf>
    <xf numFmtId="0" fontId="60" fillId="0" borderId="0" xfId="0" applyFont="1" applyAlignment="1">
      <alignment horizontal="center" vertical="center" wrapText="1"/>
    </xf>
    <xf numFmtId="0" fontId="62" fillId="0" borderId="0" xfId="0" applyFont="1" applyAlignment="1">
      <alignment vertical="center" wrapText="1"/>
    </xf>
    <xf numFmtId="0" fontId="56" fillId="0" borderId="0" xfId="0" applyFont="1" applyAlignment="1">
      <alignment wrapText="1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/>
    </xf>
    <xf numFmtId="0" fontId="64" fillId="2" borderId="2" xfId="0" applyFont="1" applyFill="1" applyBorder="1" applyAlignment="1">
      <alignment horizontal="center" vertical="center" wrapText="1"/>
    </xf>
    <xf numFmtId="0" fontId="64" fillId="0" borderId="2" xfId="0" quotePrefix="1" applyFont="1" applyBorder="1" applyAlignment="1">
      <alignment horizontal="center" vertical="center" wrapText="1"/>
    </xf>
    <xf numFmtId="0" fontId="65" fillId="0" borderId="0" xfId="0" applyFont="1"/>
    <xf numFmtId="0" fontId="66" fillId="2" borderId="2" xfId="0" applyFont="1" applyFill="1" applyBorder="1" applyAlignment="1">
      <alignment horizontal="center" vertical="center" wrapText="1"/>
    </xf>
    <xf numFmtId="0" fontId="68" fillId="9" borderId="14" xfId="0" applyFont="1" applyFill="1" applyBorder="1" applyAlignment="1">
      <alignment vertical="center"/>
    </xf>
    <xf numFmtId="4" fontId="64" fillId="9" borderId="2" xfId="0" applyNumberFormat="1" applyFont="1" applyFill="1" applyBorder="1" applyAlignment="1">
      <alignment horizontal="right"/>
    </xf>
    <xf numFmtId="4" fontId="64" fillId="0" borderId="2" xfId="0" applyNumberFormat="1" applyFont="1" applyBorder="1" applyAlignment="1">
      <alignment horizontal="right"/>
    </xf>
    <xf numFmtId="0" fontId="67" fillId="9" borderId="13" xfId="0" applyFont="1" applyFill="1" applyBorder="1" applyAlignment="1">
      <alignment horizontal="left" vertical="center"/>
    </xf>
    <xf numFmtId="0" fontId="69" fillId="0" borderId="0" xfId="0" applyFont="1" applyAlignment="1">
      <alignment horizontal="center" vertical="center" wrapText="1"/>
    </xf>
    <xf numFmtId="0" fontId="62" fillId="0" borderId="0" xfId="0" applyFont="1"/>
    <xf numFmtId="3" fontId="64" fillId="0" borderId="2" xfId="0" applyNumberFormat="1" applyFont="1" applyBorder="1" applyAlignment="1">
      <alignment horizontal="right"/>
    </xf>
    <xf numFmtId="0" fontId="0" fillId="9" borderId="0" xfId="0" applyFill="1"/>
    <xf numFmtId="0" fontId="64" fillId="0" borderId="0" xfId="0" applyFont="1" applyAlignment="1">
      <alignment horizontal="left" vertical="center" wrapText="1"/>
    </xf>
    <xf numFmtId="3" fontId="64" fillId="0" borderId="0" xfId="0" applyNumberFormat="1" applyFont="1" applyAlignment="1">
      <alignment horizontal="right"/>
    </xf>
    <xf numFmtId="0" fontId="70" fillId="0" borderId="0" xfId="0" quotePrefix="1" applyFont="1" applyAlignment="1">
      <alignment horizontal="left" wrapText="1"/>
    </xf>
    <xf numFmtId="0" fontId="71" fillId="0" borderId="0" xfId="0" applyFont="1" applyAlignment="1">
      <alignment wrapText="1"/>
    </xf>
    <xf numFmtId="3" fontId="59" fillId="0" borderId="0" xfId="0" applyNumberFormat="1" applyFont="1" applyAlignment="1">
      <alignment horizontal="right"/>
    </xf>
    <xf numFmtId="0" fontId="6" fillId="0" borderId="0" xfId="3"/>
    <xf numFmtId="0" fontId="67" fillId="0" borderId="0" xfId="3" applyFont="1" applyAlignment="1">
      <alignment horizontal="center" vertical="center"/>
    </xf>
    <xf numFmtId="0" fontId="75" fillId="0" borderId="0" xfId="3" applyFont="1"/>
    <xf numFmtId="0" fontId="67" fillId="0" borderId="15" xfId="3" applyFont="1" applyBorder="1" applyAlignment="1">
      <alignment horizontal="center" vertical="center"/>
    </xf>
    <xf numFmtId="0" fontId="74" fillId="0" borderId="16" xfId="3" applyFont="1" applyBorder="1"/>
    <xf numFmtId="3" fontId="74" fillId="0" borderId="16" xfId="3" applyNumberFormat="1" applyFont="1" applyBorder="1"/>
    <xf numFmtId="3" fontId="76" fillId="4" borderId="2" xfId="3" applyNumberFormat="1" applyFont="1" applyFill="1" applyBorder="1" applyAlignment="1">
      <alignment horizontal="center" vertical="center" wrapText="1"/>
    </xf>
    <xf numFmtId="0" fontId="76" fillId="4" borderId="2" xfId="3" applyFont="1" applyFill="1" applyBorder="1" applyAlignment="1">
      <alignment horizontal="center" vertical="center" wrapText="1"/>
    </xf>
    <xf numFmtId="165" fontId="54" fillId="0" borderId="2" xfId="3" applyNumberFormat="1" applyFont="1" applyBorder="1"/>
    <xf numFmtId="165" fontId="54" fillId="0" borderId="2" xfId="3" applyNumberFormat="1" applyFont="1" applyBorder="1" applyAlignment="1">
      <alignment horizontal="right" vertical="center"/>
    </xf>
    <xf numFmtId="0" fontId="54" fillId="0" borderId="2" xfId="3" applyFont="1" applyBorder="1"/>
    <xf numFmtId="0" fontId="52" fillId="0" borderId="2" xfId="3" applyFont="1" applyBorder="1"/>
    <xf numFmtId="165" fontId="52" fillId="0" borderId="2" xfId="3" applyNumberFormat="1" applyFont="1" applyBorder="1"/>
    <xf numFmtId="0" fontId="54" fillId="0" borderId="2" xfId="3" applyFont="1" applyBorder="1" applyAlignment="1">
      <alignment wrapText="1"/>
    </xf>
    <xf numFmtId="0" fontId="52" fillId="0" borderId="2" xfId="3" applyFont="1" applyBorder="1" applyAlignment="1">
      <alignment wrapText="1"/>
    </xf>
    <xf numFmtId="0" fontId="52" fillId="9" borderId="2" xfId="3" applyFont="1" applyFill="1" applyBorder="1"/>
    <xf numFmtId="165" fontId="52" fillId="9" borderId="2" xfId="3" applyNumberFormat="1" applyFont="1" applyFill="1" applyBorder="1"/>
    <xf numFmtId="0" fontId="77" fillId="0" borderId="0" xfId="3" applyFont="1"/>
    <xf numFmtId="49" fontId="22" fillId="7" borderId="2" xfId="3" applyNumberFormat="1" applyFont="1" applyFill="1" applyBorder="1" applyAlignment="1">
      <alignment horizontal="left" vertical="center" wrapText="1"/>
    </xf>
    <xf numFmtId="49" fontId="22" fillId="10" borderId="2" xfId="3" applyNumberFormat="1" applyFont="1" applyFill="1" applyBorder="1" applyAlignment="1">
      <alignment horizontal="left" vertical="center" wrapText="1"/>
    </xf>
    <xf numFmtId="165" fontId="52" fillId="10" borderId="2" xfId="3" applyNumberFormat="1" applyFont="1" applyFill="1" applyBorder="1"/>
    <xf numFmtId="49" fontId="22" fillId="9" borderId="2" xfId="3" applyNumberFormat="1" applyFont="1" applyFill="1" applyBorder="1" applyAlignment="1">
      <alignment horizontal="left" vertical="center" wrapText="1"/>
    </xf>
    <xf numFmtId="165" fontId="58" fillId="12" borderId="2" xfId="3" applyNumberFormat="1" applyFont="1" applyFill="1" applyBorder="1"/>
    <xf numFmtId="0" fontId="74" fillId="0" borderId="0" xfId="3" applyFont="1"/>
    <xf numFmtId="3" fontId="74" fillId="0" borderId="0" xfId="3" applyNumberFormat="1" applyFont="1"/>
    <xf numFmtId="3" fontId="78" fillId="4" borderId="2" xfId="3" applyNumberFormat="1" applyFont="1" applyFill="1" applyBorder="1" applyAlignment="1">
      <alignment horizontal="center" vertical="center" wrapText="1"/>
    </xf>
    <xf numFmtId="3" fontId="78" fillId="4" borderId="2" xfId="3" applyNumberFormat="1" applyFont="1" applyFill="1" applyBorder="1" applyAlignment="1">
      <alignment horizontal="center" vertical="center"/>
    </xf>
    <xf numFmtId="3" fontId="79" fillId="0" borderId="2" xfId="3" applyNumberFormat="1" applyFont="1" applyBorder="1" applyAlignment="1">
      <alignment horizontal="center"/>
    </xf>
    <xf numFmtId="0" fontId="80" fillId="0" borderId="0" xfId="3" applyFont="1"/>
    <xf numFmtId="0" fontId="52" fillId="10" borderId="2" xfId="3" applyFont="1" applyFill="1" applyBorder="1"/>
    <xf numFmtId="0" fontId="52" fillId="13" borderId="2" xfId="3" applyFont="1" applyFill="1" applyBorder="1"/>
    <xf numFmtId="165" fontId="52" fillId="13" borderId="2" xfId="3" applyNumberFormat="1" applyFont="1" applyFill="1" applyBorder="1"/>
    <xf numFmtId="0" fontId="52" fillId="0" borderId="13" xfId="3" applyFont="1" applyBorder="1" applyAlignment="1">
      <alignment horizontal="center" vertical="center"/>
    </xf>
    <xf numFmtId="165" fontId="74" fillId="0" borderId="0" xfId="3" applyNumberFormat="1" applyFont="1"/>
    <xf numFmtId="3" fontId="81" fillId="0" borderId="0" xfId="3" applyNumberFormat="1" applyFont="1" applyAlignment="1">
      <alignment vertical="center"/>
    </xf>
    <xf numFmtId="0" fontId="11" fillId="3" borderId="2" xfId="4" applyNumberFormat="1" applyFont="1" applyFill="1" applyBorder="1" applyAlignment="1">
      <alignment horizontal="center" vertical="center" wrapText="1"/>
    </xf>
    <xf numFmtId="0" fontId="33" fillId="6" borderId="9" xfId="3" applyFont="1" applyFill="1" applyBorder="1" applyAlignment="1">
      <alignment horizontal="center" vertical="center" wrapText="1"/>
    </xf>
    <xf numFmtId="0" fontId="11" fillId="6" borderId="9" xfId="3" applyFont="1" applyFill="1" applyBorder="1" applyAlignment="1">
      <alignment horizontal="center" vertical="center" wrapText="1"/>
    </xf>
    <xf numFmtId="165" fontId="15" fillId="6" borderId="9" xfId="4" applyNumberFormat="1" applyFont="1" applyFill="1" applyBorder="1" applyAlignment="1">
      <alignment horizontal="center" vertical="center" wrapText="1"/>
    </xf>
    <xf numFmtId="4" fontId="7" fillId="0" borderId="0" xfId="3" applyNumberFormat="1" applyFont="1" applyAlignment="1">
      <alignment vertical="center"/>
    </xf>
    <xf numFmtId="49" fontId="15" fillId="6" borderId="2" xfId="3" applyNumberFormat="1" applyFont="1" applyFill="1" applyBorder="1" applyAlignment="1">
      <alignment horizontal="left" vertical="center"/>
    </xf>
    <xf numFmtId="0" fontId="11" fillId="3" borderId="9" xfId="3" applyFont="1" applyFill="1" applyBorder="1" applyAlignment="1">
      <alignment horizontal="center" vertical="center" wrapText="1"/>
    </xf>
    <xf numFmtId="0" fontId="15" fillId="3" borderId="9" xfId="3" applyFont="1" applyFill="1" applyBorder="1" applyAlignment="1">
      <alignment horizontal="left" vertical="center" wrapText="1"/>
    </xf>
    <xf numFmtId="0" fontId="11" fillId="3" borderId="9" xfId="4" applyNumberFormat="1" applyFont="1" applyFill="1" applyBorder="1" applyAlignment="1">
      <alignment horizontal="center" vertical="center" wrapText="1"/>
    </xf>
    <xf numFmtId="0" fontId="15" fillId="6" borderId="2" xfId="3" applyFont="1" applyFill="1" applyBorder="1" applyAlignment="1">
      <alignment horizontal="right" vertical="center"/>
    </xf>
    <xf numFmtId="0" fontId="33" fillId="6" borderId="9" xfId="3" applyFont="1" applyFill="1" applyBorder="1" applyAlignment="1">
      <alignment horizontal="left" vertical="center" wrapText="1"/>
    </xf>
    <xf numFmtId="0" fontId="15" fillId="0" borderId="2" xfId="5" applyFont="1" applyBorder="1" applyAlignment="1">
      <alignment horizontal="right" vertical="center"/>
    </xf>
    <xf numFmtId="49" fontId="15" fillId="0" borderId="2" xfId="5" applyNumberFormat="1" applyFont="1" applyBorder="1" applyAlignment="1">
      <alignment horizontal="left" vertical="center"/>
    </xf>
    <xf numFmtId="0" fontId="7" fillId="0" borderId="2" xfId="5" applyFont="1" applyBorder="1" applyAlignment="1">
      <alignment horizontal="right" vertical="center"/>
    </xf>
    <xf numFmtId="49" fontId="7" fillId="0" borderId="2" xfId="5" applyNumberFormat="1" applyFont="1" applyBorder="1" applyAlignment="1">
      <alignment horizontal="left" vertical="center"/>
    </xf>
    <xf numFmtId="0" fontId="82" fillId="0" borderId="2" xfId="3" applyFont="1" applyBorder="1" applyAlignment="1">
      <alignment vertical="center"/>
    </xf>
    <xf numFmtId="165" fontId="83" fillId="9" borderId="2" xfId="3" applyNumberFormat="1" applyFont="1" applyFill="1" applyBorder="1" applyAlignment="1">
      <alignment horizontal="right" vertical="center"/>
    </xf>
    <xf numFmtId="3" fontId="83" fillId="2" borderId="0" xfId="3" applyNumberFormat="1" applyFont="1" applyFill="1" applyAlignment="1">
      <alignment vertical="center"/>
    </xf>
    <xf numFmtId="0" fontId="83" fillId="2" borderId="0" xfId="3" applyFont="1" applyFill="1" applyAlignment="1">
      <alignment vertical="center"/>
    </xf>
    <xf numFmtId="165" fontId="83" fillId="0" borderId="2" xfId="3" applyNumberFormat="1" applyFont="1" applyBorder="1" applyAlignment="1">
      <alignment horizontal="right" vertical="center"/>
    </xf>
    <xf numFmtId="0" fontId="82" fillId="0" borderId="2" xfId="3" applyFont="1" applyBorder="1" applyAlignment="1">
      <alignment horizontal="right" vertical="center"/>
    </xf>
    <xf numFmtId="0" fontId="82" fillId="0" borderId="2" xfId="3" applyFont="1" applyBorder="1"/>
    <xf numFmtId="165" fontId="82" fillId="0" borderId="2" xfId="3" applyNumberFormat="1" applyFont="1" applyBorder="1" applyAlignment="1">
      <alignment horizontal="right" vertical="center"/>
    </xf>
    <xf numFmtId="3" fontId="84" fillId="0" borderId="0" xfId="3" applyNumberFormat="1" applyFont="1" applyAlignment="1">
      <alignment vertical="center"/>
    </xf>
    <xf numFmtId="0" fontId="16" fillId="0" borderId="2" xfId="3" applyFont="1" applyBorder="1" applyAlignment="1">
      <alignment vertical="center" wrapText="1"/>
    </xf>
    <xf numFmtId="0" fontId="39" fillId="10" borderId="2" xfId="3" applyFont="1" applyFill="1" applyBorder="1" applyAlignment="1">
      <alignment horizontal="center" vertical="center"/>
    </xf>
    <xf numFmtId="49" fontId="39" fillId="6" borderId="2" xfId="3" applyNumberFormat="1" applyFont="1" applyFill="1" applyBorder="1" applyAlignment="1">
      <alignment horizontal="right" vertical="center"/>
    </xf>
    <xf numFmtId="49" fontId="39" fillId="6" borderId="2" xfId="3" applyNumberFormat="1" applyFont="1" applyFill="1" applyBorder="1" applyAlignment="1">
      <alignment vertical="center"/>
    </xf>
    <xf numFmtId="3" fontId="40" fillId="0" borderId="0" xfId="3" applyNumberFormat="1" applyFont="1" applyAlignment="1">
      <alignment vertical="center"/>
    </xf>
    <xf numFmtId="0" fontId="15" fillId="2" borderId="4" xfId="3" applyFont="1" applyFill="1" applyBorder="1" applyAlignment="1">
      <alignment vertical="center"/>
    </xf>
    <xf numFmtId="3" fontId="86" fillId="2" borderId="0" xfId="5" applyNumberFormat="1" applyFont="1" applyFill="1" applyAlignment="1">
      <alignment vertical="center"/>
    </xf>
    <xf numFmtId="165" fontId="86" fillId="2" borderId="0" xfId="5" applyNumberFormat="1" applyFont="1" applyFill="1" applyAlignment="1">
      <alignment vertical="center"/>
    </xf>
    <xf numFmtId="165" fontId="33" fillId="0" borderId="0" xfId="5" applyNumberFormat="1" applyFont="1" applyAlignment="1">
      <alignment horizontal="right" vertical="center"/>
    </xf>
    <xf numFmtId="0" fontId="5" fillId="3" borderId="2" xfId="5" applyFont="1" applyFill="1" applyBorder="1" applyAlignment="1">
      <alignment horizontal="center" vertical="center" wrapText="1"/>
    </xf>
    <xf numFmtId="3" fontId="87" fillId="3" borderId="2" xfId="5" applyNumberFormat="1" applyFont="1" applyFill="1" applyBorder="1" applyAlignment="1">
      <alignment horizontal="left" vertical="center"/>
    </xf>
    <xf numFmtId="0" fontId="87" fillId="3" borderId="2" xfId="5" applyFont="1" applyFill="1" applyBorder="1" applyAlignment="1">
      <alignment horizontal="left" vertical="center" wrapText="1"/>
    </xf>
    <xf numFmtId="165" fontId="86" fillId="15" borderId="2" xfId="5" applyNumberFormat="1" applyFont="1" applyFill="1" applyBorder="1" applyAlignment="1">
      <alignment horizontal="right" vertical="center" wrapText="1"/>
    </xf>
    <xf numFmtId="49" fontId="8" fillId="7" borderId="2" xfId="5" applyNumberFormat="1" applyFont="1" applyFill="1" applyBorder="1" applyAlignment="1">
      <alignment horizontal="right" vertical="center"/>
    </xf>
    <xf numFmtId="49" fontId="8" fillId="7" borderId="2" xfId="5" applyNumberFormat="1" applyFont="1" applyFill="1" applyBorder="1" applyAlignment="1">
      <alignment vertical="center"/>
    </xf>
    <xf numFmtId="165" fontId="8" fillId="9" borderId="2" xfId="5" applyNumberFormat="1" applyFont="1" applyFill="1" applyBorder="1" applyAlignment="1">
      <alignment horizontal="right" vertical="center" wrapText="1"/>
    </xf>
    <xf numFmtId="49" fontId="8" fillId="0" borderId="2" xfId="5" applyNumberFormat="1" applyFont="1" applyBorder="1" applyAlignment="1">
      <alignment horizontal="right" vertical="center"/>
    </xf>
    <xf numFmtId="0" fontId="8" fillId="0" borderId="2" xfId="5" applyFont="1" applyBorder="1" applyAlignment="1">
      <alignment vertical="center"/>
    </xf>
    <xf numFmtId="165" fontId="8" fillId="0" borderId="2" xfId="5" applyNumberFormat="1" applyFont="1" applyBorder="1" applyAlignment="1">
      <alignment horizontal="right" vertical="center" wrapText="1"/>
    </xf>
    <xf numFmtId="49" fontId="7" fillId="0" borderId="2" xfId="5" applyNumberFormat="1" applyFont="1" applyBorder="1" applyAlignment="1">
      <alignment horizontal="right" vertical="center"/>
    </xf>
    <xf numFmtId="0" fontId="7" fillId="0" borderId="2" xfId="5" applyFont="1" applyBorder="1" applyAlignment="1">
      <alignment vertical="center"/>
    </xf>
    <xf numFmtId="49" fontId="8" fillId="4" borderId="2" xfId="5" applyNumberFormat="1" applyFont="1" applyFill="1" applyBorder="1" applyAlignment="1">
      <alignment horizontal="right" vertical="center"/>
    </xf>
    <xf numFmtId="49" fontId="7" fillId="4" borderId="2" xfId="5" applyNumberFormat="1" applyFont="1" applyFill="1" applyBorder="1" applyAlignment="1">
      <alignment horizontal="right" vertical="center"/>
    </xf>
    <xf numFmtId="165" fontId="7" fillId="0" borderId="2" xfId="5" applyNumberFormat="1" applyFont="1" applyBorder="1" applyAlignment="1">
      <alignment horizontal="right" vertical="center" wrapText="1"/>
    </xf>
    <xf numFmtId="0" fontId="7" fillId="0" borderId="2" xfId="5" applyFont="1" applyBorder="1" applyAlignment="1">
      <alignment vertical="center" wrapText="1"/>
    </xf>
    <xf numFmtId="0" fontId="8" fillId="0" borderId="2" xfId="5" applyFont="1" applyBorder="1" applyAlignment="1">
      <alignment vertical="center" wrapText="1"/>
    </xf>
    <xf numFmtId="0" fontId="7" fillId="4" borderId="2" xfId="5" applyFont="1" applyFill="1" applyBorder="1" applyAlignment="1">
      <alignment horizontal="right" vertical="center"/>
    </xf>
    <xf numFmtId="49" fontId="7" fillId="4" borderId="2" xfId="5" applyNumberFormat="1" applyFont="1" applyFill="1" applyBorder="1" applyAlignment="1">
      <alignment horizontal="left" vertical="center"/>
    </xf>
    <xf numFmtId="49" fontId="8" fillId="4" borderId="2" xfId="5" applyNumberFormat="1" applyFont="1" applyFill="1" applyBorder="1" applyAlignment="1">
      <alignment horizontal="left" vertical="center" wrapText="1"/>
    </xf>
    <xf numFmtId="49" fontId="7" fillId="4" borderId="2" xfId="5" applyNumberFormat="1" applyFont="1" applyFill="1" applyBorder="1" applyAlignment="1">
      <alignment horizontal="left" vertical="center" wrapText="1"/>
    </xf>
    <xf numFmtId="0" fontId="8" fillId="4" borderId="2" xfId="5" applyFont="1" applyFill="1" applyBorder="1" applyAlignment="1">
      <alignment horizontal="right" vertical="center"/>
    </xf>
    <xf numFmtId="49" fontId="8" fillId="4" borderId="2" xfId="5" applyNumberFormat="1" applyFont="1" applyFill="1" applyBorder="1" applyAlignment="1">
      <alignment horizontal="left" vertical="center"/>
    </xf>
    <xf numFmtId="165" fontId="7" fillId="0" borderId="2" xfId="5" applyNumberFormat="1" applyFont="1" applyBorder="1" applyAlignment="1">
      <alignment vertical="center" wrapText="1"/>
    </xf>
    <xf numFmtId="0" fontId="8" fillId="9" borderId="2" xfId="5" applyFont="1" applyFill="1" applyBorder="1" applyAlignment="1">
      <alignment horizontal="right" vertical="center"/>
    </xf>
    <xf numFmtId="49" fontId="8" fillId="9" borderId="2" xfId="5" applyNumberFormat="1" applyFont="1" applyFill="1" applyBorder="1" applyAlignment="1">
      <alignment horizontal="left" vertical="center"/>
    </xf>
    <xf numFmtId="0" fontId="8" fillId="0" borderId="2" xfId="5" applyFont="1" applyBorder="1" applyAlignment="1">
      <alignment horizontal="right" vertical="center"/>
    </xf>
    <xf numFmtId="49" fontId="8" fillId="0" borderId="2" xfId="5" applyNumberFormat="1" applyFont="1" applyBorder="1" applyAlignment="1">
      <alignment horizontal="left" vertical="center"/>
    </xf>
    <xf numFmtId="49" fontId="8" fillId="0" borderId="2" xfId="5" applyNumberFormat="1" applyFont="1" applyBorder="1" applyAlignment="1">
      <alignment vertical="center"/>
    </xf>
    <xf numFmtId="49" fontId="7" fillId="0" borderId="2" xfId="5" applyNumberFormat="1" applyFont="1" applyBorder="1" applyAlignment="1">
      <alignment vertical="center"/>
    </xf>
    <xf numFmtId="0" fontId="8" fillId="6" borderId="2" xfId="5" applyFont="1" applyFill="1" applyBorder="1" applyAlignment="1">
      <alignment horizontal="center" vertical="center"/>
    </xf>
    <xf numFmtId="49" fontId="8" fillId="6" borderId="2" xfId="5" applyNumberFormat="1" applyFont="1" applyFill="1" applyBorder="1" applyAlignment="1">
      <alignment vertical="center"/>
    </xf>
    <xf numFmtId="165" fontId="8" fillId="10" borderId="2" xfId="5" applyNumberFormat="1" applyFont="1" applyFill="1" applyBorder="1" applyAlignment="1">
      <alignment horizontal="right" vertical="center" wrapText="1"/>
    </xf>
    <xf numFmtId="49" fontId="8" fillId="7" borderId="2" xfId="5" applyNumberFormat="1" applyFont="1" applyFill="1" applyBorder="1" applyAlignment="1">
      <alignment vertical="center" wrapText="1"/>
    </xf>
    <xf numFmtId="49" fontId="8" fillId="0" borderId="2" xfId="5" applyNumberFormat="1" applyFont="1" applyBorder="1" applyAlignment="1">
      <alignment vertical="center" wrapText="1"/>
    </xf>
    <xf numFmtId="49" fontId="7" fillId="0" borderId="2" xfId="5" applyNumberFormat="1" applyFont="1" applyBorder="1" applyAlignment="1">
      <alignment vertical="center" wrapText="1"/>
    </xf>
    <xf numFmtId="49" fontId="8" fillId="4" borderId="2" xfId="5" applyNumberFormat="1" applyFont="1" applyFill="1" applyBorder="1" applyAlignment="1">
      <alignment vertical="center"/>
    </xf>
    <xf numFmtId="49" fontId="7" fillId="4" borderId="2" xfId="5" applyNumberFormat="1" applyFont="1" applyFill="1" applyBorder="1" applyAlignment="1">
      <alignment vertical="center"/>
    </xf>
    <xf numFmtId="0" fontId="15" fillId="4" borderId="2" xfId="5" applyFont="1" applyFill="1" applyBorder="1" applyAlignment="1">
      <alignment horizontal="right" vertical="center"/>
    </xf>
    <xf numFmtId="49" fontId="18" fillId="5" borderId="2" xfId="5" applyNumberFormat="1" applyFont="1" applyFill="1" applyBorder="1" applyAlignment="1">
      <alignment horizontal="left" vertical="center"/>
    </xf>
    <xf numFmtId="49" fontId="18" fillId="5" borderId="2" xfId="5" applyNumberFormat="1" applyFont="1" applyFill="1" applyBorder="1" applyAlignment="1">
      <alignment vertical="center"/>
    </xf>
    <xf numFmtId="165" fontId="18" fillId="8" borderId="2" xfId="5" applyNumberFormat="1" applyFont="1" applyFill="1" applyBorder="1" applyAlignment="1">
      <alignment horizontal="right" vertical="center" wrapText="1"/>
    </xf>
    <xf numFmtId="49" fontId="8" fillId="6" borderId="2" xfId="5" applyNumberFormat="1" applyFont="1" applyFill="1" applyBorder="1" applyAlignment="1">
      <alignment horizontal="center" vertical="center"/>
    </xf>
    <xf numFmtId="3" fontId="43" fillId="0" borderId="0" xfId="5" applyNumberFormat="1" applyFont="1" applyAlignment="1">
      <alignment vertical="center"/>
    </xf>
    <xf numFmtId="49" fontId="8" fillId="9" borderId="2" xfId="5" applyNumberFormat="1" applyFont="1" applyFill="1" applyBorder="1" applyAlignment="1">
      <alignment horizontal="right" vertical="center"/>
    </xf>
    <xf numFmtId="0" fontId="8" fillId="9" borderId="2" xfId="5" applyFont="1" applyFill="1" applyBorder="1" applyAlignment="1">
      <alignment vertical="center"/>
    </xf>
    <xf numFmtId="49" fontId="8" fillId="10" borderId="2" xfId="5" applyNumberFormat="1" applyFont="1" applyFill="1" applyBorder="1" applyAlignment="1">
      <alignment horizontal="right" vertical="center"/>
    </xf>
    <xf numFmtId="0" fontId="8" fillId="10" borderId="2" xfId="5" applyFont="1" applyFill="1" applyBorder="1" applyAlignment="1">
      <alignment vertical="center"/>
    </xf>
    <xf numFmtId="49" fontId="15" fillId="0" borderId="2" xfId="5" applyNumberFormat="1" applyFont="1" applyBorder="1" applyAlignment="1">
      <alignment horizontal="right" vertical="center"/>
    </xf>
    <xf numFmtId="49" fontId="8" fillId="10" borderId="2" xfId="5" applyNumberFormat="1" applyFont="1" applyFill="1" applyBorder="1" applyAlignment="1">
      <alignment horizontal="center" vertical="center"/>
    </xf>
    <xf numFmtId="49" fontId="18" fillId="5" borderId="2" xfId="5" applyNumberFormat="1" applyFont="1" applyFill="1" applyBorder="1" applyAlignment="1">
      <alignment vertical="center" wrapText="1"/>
    </xf>
    <xf numFmtId="0" fontId="15" fillId="0" borderId="2" xfId="5" applyFont="1" applyBorder="1" applyAlignment="1">
      <alignment vertical="center"/>
    </xf>
    <xf numFmtId="49" fontId="78" fillId="6" borderId="2" xfId="5" applyNumberFormat="1" applyFont="1" applyFill="1" applyBorder="1" applyAlignment="1">
      <alignment horizontal="center" vertical="center"/>
    </xf>
    <xf numFmtId="49" fontId="16" fillId="0" borderId="2" xfId="5" applyNumberFormat="1" applyFont="1" applyBorder="1" applyAlignment="1">
      <alignment horizontal="right" vertical="center"/>
    </xf>
    <xf numFmtId="3" fontId="93" fillId="15" borderId="2" xfId="5" applyNumberFormat="1" applyFont="1" applyFill="1" applyBorder="1" applyAlignment="1">
      <alignment horizontal="left" vertical="center"/>
    </xf>
    <xf numFmtId="3" fontId="93" fillId="15" borderId="2" xfId="5" applyNumberFormat="1" applyFont="1" applyFill="1" applyBorder="1" applyAlignment="1">
      <alignment vertical="center" wrapText="1"/>
    </xf>
    <xf numFmtId="165" fontId="33" fillId="15" borderId="2" xfId="5" applyNumberFormat="1" applyFont="1" applyFill="1" applyBorder="1" applyAlignment="1">
      <alignment horizontal="right" vertical="center" wrapText="1"/>
    </xf>
    <xf numFmtId="49" fontId="78" fillId="6" borderId="2" xfId="5" applyNumberFormat="1" applyFont="1" applyFill="1" applyBorder="1" applyAlignment="1">
      <alignment vertical="center"/>
    </xf>
    <xf numFmtId="49" fontId="8" fillId="9" borderId="2" xfId="5" applyNumberFormat="1" applyFont="1" applyFill="1" applyBorder="1" applyAlignment="1">
      <alignment vertical="center"/>
    </xf>
    <xf numFmtId="0" fontId="16" fillId="0" borderId="2" xfId="5" applyFont="1" applyBorder="1" applyAlignment="1">
      <alignment horizontal="right" vertical="center"/>
    </xf>
    <xf numFmtId="49" fontId="16" fillId="0" borderId="2" xfId="5" applyNumberFormat="1" applyFont="1" applyBorder="1" applyAlignment="1">
      <alignment vertical="center"/>
    </xf>
    <xf numFmtId="0" fontId="16" fillId="0" borderId="2" xfId="5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6" fillId="0" borderId="2" xfId="5" applyFont="1" applyBorder="1" applyAlignment="1">
      <alignment vertical="center" wrapText="1"/>
    </xf>
    <xf numFmtId="0" fontId="15" fillId="0" borderId="2" xfId="5" applyFont="1" applyBorder="1" applyAlignment="1">
      <alignment vertical="center" wrapText="1"/>
    </xf>
    <xf numFmtId="3" fontId="43" fillId="0" borderId="2" xfId="5" applyNumberFormat="1" applyFont="1" applyBorder="1" applyAlignment="1">
      <alignment vertical="center"/>
    </xf>
    <xf numFmtId="165" fontId="43" fillId="0" borderId="2" xfId="5" applyNumberFormat="1" applyFont="1" applyBorder="1" applyAlignment="1">
      <alignment vertical="center"/>
    </xf>
    <xf numFmtId="165" fontId="43" fillId="0" borderId="0" xfId="5" applyNumberFormat="1" applyFont="1" applyAlignment="1">
      <alignment vertical="center"/>
    </xf>
    <xf numFmtId="165" fontId="7" fillId="0" borderId="0" xfId="5" applyNumberFormat="1" applyFont="1" applyAlignment="1">
      <alignment vertical="center"/>
    </xf>
    <xf numFmtId="0" fontId="5" fillId="2" borderId="0" xfId="2" applyFont="1" applyFill="1" applyAlignment="1">
      <alignment vertical="center" wrapText="1"/>
    </xf>
    <xf numFmtId="0" fontId="97" fillId="0" borderId="0" xfId="3" applyFont="1"/>
    <xf numFmtId="0" fontId="5" fillId="4" borderId="20" xfId="3" applyFont="1" applyFill="1" applyBorder="1" applyAlignment="1">
      <alignment horizontal="center" vertical="center" wrapText="1"/>
    </xf>
    <xf numFmtId="0" fontId="5" fillId="4" borderId="21" xfId="3" applyFont="1" applyFill="1" applyBorder="1" applyAlignment="1">
      <alignment horizontal="center" vertical="center" wrapText="1"/>
    </xf>
    <xf numFmtId="0" fontId="100" fillId="0" borderId="0" xfId="3" applyFont="1"/>
    <xf numFmtId="3" fontId="11" fillId="4" borderId="17" xfId="3" applyNumberFormat="1" applyFont="1" applyFill="1" applyBorder="1" applyAlignment="1">
      <alignment horizontal="center" vertical="center" wrapText="1"/>
    </xf>
    <xf numFmtId="0" fontId="102" fillId="0" borderId="0" xfId="3" applyFont="1"/>
    <xf numFmtId="0" fontId="103" fillId="10" borderId="22" xfId="2" applyFont="1" applyFill="1" applyBorder="1" applyAlignment="1">
      <alignment horizontal="center" vertical="center" wrapText="1"/>
    </xf>
    <xf numFmtId="49" fontId="15" fillId="0" borderId="22" xfId="8" applyNumberFormat="1" applyFont="1" applyBorder="1" applyAlignment="1">
      <alignment vertical="center" wrapText="1"/>
    </xf>
    <xf numFmtId="0" fontId="104" fillId="0" borderId="0" xfId="3" applyFont="1"/>
    <xf numFmtId="49" fontId="16" fillId="0" borderId="22" xfId="8" applyNumberFormat="1" applyFont="1" applyBorder="1" applyAlignment="1">
      <alignment vertical="center" wrapText="1"/>
    </xf>
    <xf numFmtId="49" fontId="15" fillId="0" borderId="23" xfId="8" applyNumberFormat="1" applyFont="1" applyBorder="1" applyAlignment="1">
      <alignment vertical="center" wrapText="1"/>
    </xf>
    <xf numFmtId="0" fontId="104" fillId="0" borderId="0" xfId="3" applyFont="1" applyAlignment="1">
      <alignment horizontal="right"/>
    </xf>
    <xf numFmtId="49" fontId="105" fillId="2" borderId="13" xfId="2" applyNumberFormat="1" applyFont="1" applyFill="1" applyBorder="1" applyAlignment="1">
      <alignment vertical="center" wrapText="1"/>
    </xf>
    <xf numFmtId="165" fontId="16" fillId="2" borderId="2" xfId="2" applyNumberFormat="1" applyFont="1" applyFill="1" applyBorder="1" applyAlignment="1">
      <alignment horizontal="right" vertical="center" wrapText="1"/>
    </xf>
    <xf numFmtId="0" fontId="106" fillId="0" borderId="0" xfId="3" applyFont="1" applyAlignment="1">
      <alignment horizontal="right"/>
    </xf>
    <xf numFmtId="0" fontId="107" fillId="0" borderId="0" xfId="3" applyFont="1"/>
    <xf numFmtId="165" fontId="97" fillId="0" borderId="0" xfId="3" applyNumberFormat="1" applyFont="1"/>
    <xf numFmtId="165" fontId="108" fillId="4" borderId="3" xfId="3" applyNumberFormat="1" applyFont="1" applyFill="1" applyBorder="1" applyAlignment="1">
      <alignment horizontal="center" vertical="center" wrapText="1"/>
    </xf>
    <xf numFmtId="0" fontId="108" fillId="4" borderId="3" xfId="3" applyFont="1" applyFill="1" applyBorder="1" applyAlignment="1">
      <alignment horizontal="center" vertical="center" wrapText="1"/>
    </xf>
    <xf numFmtId="0" fontId="108" fillId="4" borderId="2" xfId="3" applyFont="1" applyFill="1" applyBorder="1" applyAlignment="1">
      <alignment horizontal="center" vertical="center" wrapText="1"/>
    </xf>
    <xf numFmtId="0" fontId="109" fillId="0" borderId="0" xfId="3" applyFont="1"/>
    <xf numFmtId="0" fontId="110" fillId="0" borderId="2" xfId="3" applyFont="1" applyBorder="1"/>
    <xf numFmtId="0" fontId="109" fillId="0" borderId="2" xfId="3" applyFont="1" applyBorder="1"/>
    <xf numFmtId="0" fontId="111" fillId="0" borderId="2" xfId="3" applyFont="1" applyBorder="1"/>
    <xf numFmtId="0" fontId="112" fillId="0" borderId="2" xfId="3" applyFont="1" applyBorder="1"/>
    <xf numFmtId="49" fontId="15" fillId="0" borderId="2" xfId="3" applyNumberFormat="1" applyFont="1" applyBorder="1" applyAlignment="1">
      <alignment horizontal="center" vertical="center"/>
    </xf>
    <xf numFmtId="0" fontId="25" fillId="0" borderId="2" xfId="3" applyFont="1" applyBorder="1" applyAlignment="1">
      <alignment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left" vertical="center" wrapText="1"/>
    </xf>
    <xf numFmtId="0" fontId="25" fillId="0" borderId="2" xfId="3" applyFont="1" applyBorder="1" applyAlignment="1">
      <alignment horizontal="right" vertical="center"/>
    </xf>
    <xf numFmtId="0" fontId="24" fillId="0" borderId="2" xfId="3" applyFont="1" applyBorder="1" applyAlignment="1">
      <alignment horizontal="right" vertical="center"/>
    </xf>
    <xf numFmtId="0" fontId="37" fillId="0" borderId="2" xfId="3" applyFont="1" applyBorder="1" applyAlignment="1">
      <alignment horizontal="center" vertical="center"/>
    </xf>
    <xf numFmtId="165" fontId="25" fillId="0" borderId="2" xfId="3" applyNumberFormat="1" applyFont="1" applyBorder="1"/>
    <xf numFmtId="49" fontId="15" fillId="3" borderId="2" xfId="3" applyNumberFormat="1" applyFont="1" applyFill="1" applyBorder="1" applyAlignment="1">
      <alignment horizontal="right" vertical="center"/>
    </xf>
    <xf numFmtId="49" fontId="15" fillId="3" borderId="2" xfId="3" applyNumberFormat="1" applyFont="1" applyFill="1" applyBorder="1" applyAlignment="1">
      <alignment horizontal="center" vertical="center"/>
    </xf>
    <xf numFmtId="49" fontId="15" fillId="3" borderId="2" xfId="3" applyNumberFormat="1" applyFont="1" applyFill="1" applyBorder="1" applyAlignment="1">
      <alignment horizontal="left" vertical="center" wrapText="1"/>
    </xf>
    <xf numFmtId="49" fontId="15" fillId="4" borderId="2" xfId="5" applyNumberFormat="1" applyFont="1" applyFill="1" applyBorder="1" applyAlignment="1">
      <alignment horizontal="right" vertical="center"/>
    </xf>
    <xf numFmtId="49" fontId="16" fillId="4" borderId="2" xfId="5" applyNumberFormat="1" applyFont="1" applyFill="1" applyBorder="1" applyAlignment="1">
      <alignment horizontal="right" vertical="center"/>
    </xf>
    <xf numFmtId="165" fontId="7" fillId="0" borderId="2" xfId="0" applyNumberFormat="1" applyFont="1" applyBorder="1" applyAlignment="1">
      <alignment horizontal="right"/>
    </xf>
    <xf numFmtId="165" fontId="8" fillId="0" borderId="2" xfId="0" applyNumberFormat="1" applyFont="1" applyBorder="1" applyAlignment="1">
      <alignment horizontal="right"/>
    </xf>
    <xf numFmtId="165" fontId="7" fillId="0" borderId="2" xfId="0" applyNumberFormat="1" applyFont="1" applyBorder="1" applyAlignment="1">
      <alignment horizontal="right" vertical="center"/>
    </xf>
    <xf numFmtId="165" fontId="8" fillId="9" borderId="2" xfId="0" applyNumberFormat="1" applyFont="1" applyFill="1" applyBorder="1" applyAlignment="1">
      <alignment horizontal="right"/>
    </xf>
    <xf numFmtId="49" fontId="15" fillId="4" borderId="2" xfId="5" applyNumberFormat="1" applyFont="1" applyFill="1" applyBorder="1" applyAlignment="1">
      <alignment horizontal="left" vertical="center"/>
    </xf>
    <xf numFmtId="49" fontId="15" fillId="4" borderId="2" xfId="5" applyNumberFormat="1" applyFont="1" applyFill="1" applyBorder="1" applyAlignment="1">
      <alignment horizontal="left" vertical="center" wrapText="1"/>
    </xf>
    <xf numFmtId="49" fontId="16" fillId="0" borderId="2" xfId="5" applyNumberFormat="1" applyFont="1" applyBorder="1" applyAlignment="1">
      <alignment horizontal="left" vertical="center"/>
    </xf>
    <xf numFmtId="49" fontId="15" fillId="0" borderId="2" xfId="5" applyNumberFormat="1" applyFont="1" applyBorder="1" applyAlignment="1">
      <alignment vertical="center"/>
    </xf>
    <xf numFmtId="49" fontId="15" fillId="4" borderId="2" xfId="5" applyNumberFormat="1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49" fontId="15" fillId="4" borderId="2" xfId="3" applyNumberFormat="1" applyFont="1" applyFill="1" applyBorder="1" applyAlignment="1">
      <alignment horizontal="left" vertical="center"/>
    </xf>
    <xf numFmtId="49" fontId="33" fillId="0" borderId="2" xfId="3" applyNumberFormat="1" applyFont="1" applyBorder="1" applyAlignment="1">
      <alignment horizontal="right" vertical="center"/>
    </xf>
    <xf numFmtId="49" fontId="7" fillId="3" borderId="2" xfId="3" applyNumberFormat="1" applyFont="1" applyFill="1" applyBorder="1" applyAlignment="1">
      <alignment horizontal="right" vertical="center"/>
    </xf>
    <xf numFmtId="49" fontId="7" fillId="0" borderId="2" xfId="3" applyNumberFormat="1" applyFont="1" applyBorder="1" applyAlignment="1">
      <alignment vertical="center"/>
    </xf>
    <xf numFmtId="0" fontId="8" fillId="9" borderId="2" xfId="3" applyFont="1" applyFill="1" applyBorder="1" applyAlignment="1">
      <alignment horizontal="right" vertical="center"/>
    </xf>
    <xf numFmtId="0" fontId="8" fillId="9" borderId="2" xfId="3" applyFont="1" applyFill="1" applyBorder="1"/>
    <xf numFmtId="0" fontId="8" fillId="0" borderId="2" xfId="3" applyFont="1" applyBorder="1"/>
    <xf numFmtId="0" fontId="58" fillId="12" borderId="10" xfId="3" applyFont="1" applyFill="1" applyBorder="1" applyAlignment="1">
      <alignment horizontal="center" vertical="center"/>
    </xf>
    <xf numFmtId="0" fontId="11" fillId="3" borderId="2" xfId="3" applyFont="1" applyFill="1" applyBorder="1" applyAlignment="1">
      <alignment horizontal="center" vertical="center" wrapText="1"/>
    </xf>
    <xf numFmtId="3" fontId="5" fillId="4" borderId="7" xfId="3" applyNumberFormat="1" applyFont="1" applyFill="1" applyBorder="1" applyAlignment="1">
      <alignment horizontal="right" vertical="center"/>
    </xf>
    <xf numFmtId="0" fontId="30" fillId="4" borderId="2" xfId="3" applyFont="1" applyFill="1" applyBorder="1" applyAlignment="1">
      <alignment horizontal="center" vertical="center" wrapText="1"/>
    </xf>
    <xf numFmtId="2" fontId="8" fillId="6" borderId="2" xfId="3" applyNumberFormat="1" applyFont="1" applyFill="1" applyBorder="1" applyAlignment="1">
      <alignment horizontal="right" vertical="center" wrapText="1"/>
    </xf>
    <xf numFmtId="2" fontId="5" fillId="2" borderId="0" xfId="2" applyNumberFormat="1" applyFont="1" applyFill="1" applyAlignment="1">
      <alignment horizontal="center" vertical="center" wrapText="1"/>
    </xf>
    <xf numFmtId="2" fontId="8" fillId="0" borderId="2" xfId="3" applyNumberFormat="1" applyFont="1" applyBorder="1" applyAlignment="1">
      <alignment horizontal="center" vertical="center" wrapText="1"/>
    </xf>
    <xf numFmtId="2" fontId="13" fillId="0" borderId="2" xfId="3" applyNumberFormat="1" applyFont="1" applyBorder="1" applyAlignment="1">
      <alignment horizontal="center" vertical="center"/>
    </xf>
    <xf numFmtId="2" fontId="15" fillId="7" borderId="2" xfId="3" applyNumberFormat="1" applyFont="1" applyFill="1" applyBorder="1" applyAlignment="1">
      <alignment horizontal="right" vertical="center"/>
    </xf>
    <xf numFmtId="2" fontId="18" fillId="8" borderId="2" xfId="3" applyNumberFormat="1" applyFont="1" applyFill="1" applyBorder="1" applyAlignment="1">
      <alignment horizontal="right" vertical="center"/>
    </xf>
    <xf numFmtId="2" fontId="8" fillId="7" borderId="2" xfId="3" applyNumberFormat="1" applyFont="1" applyFill="1" applyBorder="1" applyAlignment="1">
      <alignment horizontal="right" vertical="center"/>
    </xf>
    <xf numFmtId="2" fontId="8" fillId="0" borderId="2" xfId="3" applyNumberFormat="1" applyFont="1" applyBorder="1" applyAlignment="1">
      <alignment horizontal="right" vertical="center"/>
    </xf>
    <xf numFmtId="2" fontId="15" fillId="0" borderId="2" xfId="3" applyNumberFormat="1" applyFont="1" applyBorder="1" applyAlignment="1">
      <alignment horizontal="right" vertical="center"/>
    </xf>
    <xf numFmtId="2" fontId="8" fillId="4" borderId="2" xfId="3" applyNumberFormat="1" applyFont="1" applyFill="1" applyBorder="1" applyAlignment="1">
      <alignment horizontal="right" vertical="center"/>
    </xf>
    <xf numFmtId="2" fontId="16" fillId="0" borderId="2" xfId="3" applyNumberFormat="1" applyFont="1" applyBorder="1" applyAlignment="1">
      <alignment horizontal="right" vertical="center"/>
    </xf>
    <xf numFmtId="2" fontId="22" fillId="0" borderId="2" xfId="3" applyNumberFormat="1" applyFont="1" applyBorder="1" applyAlignment="1">
      <alignment horizontal="right" vertical="center"/>
    </xf>
    <xf numFmtId="2" fontId="15" fillId="9" borderId="2" xfId="3" applyNumberFormat="1" applyFont="1" applyFill="1" applyBorder="1" applyAlignment="1">
      <alignment horizontal="right" vertical="center"/>
    </xf>
    <xf numFmtId="2" fontId="15" fillId="10" borderId="2" xfId="3" applyNumberFormat="1" applyFont="1" applyFill="1" applyBorder="1" applyAlignment="1">
      <alignment horizontal="right" vertical="center"/>
    </xf>
    <xf numFmtId="2" fontId="33" fillId="4" borderId="0" xfId="3" applyNumberFormat="1" applyFont="1" applyFill="1" applyAlignment="1">
      <alignment horizontal="right" vertical="center"/>
    </xf>
    <xf numFmtId="2" fontId="33" fillId="4" borderId="0" xfId="3" applyNumberFormat="1" applyFont="1" applyFill="1" applyAlignment="1">
      <alignment horizontal="center" vertical="center"/>
    </xf>
    <xf numFmtId="2" fontId="9" fillId="4" borderId="2" xfId="3" applyNumberFormat="1" applyFont="1" applyFill="1" applyBorder="1" applyAlignment="1">
      <alignment horizontal="center" vertical="center" wrapText="1"/>
    </xf>
    <xf numFmtId="2" fontId="8" fillId="6" borderId="9" xfId="3" applyNumberFormat="1" applyFont="1" applyFill="1" applyBorder="1" applyAlignment="1">
      <alignment horizontal="right" vertical="center" wrapText="1"/>
    </xf>
    <xf numFmtId="2" fontId="7" fillId="0" borderId="2" xfId="3" applyNumberFormat="1" applyFont="1" applyBorder="1" applyAlignment="1">
      <alignment horizontal="right" vertical="center"/>
    </xf>
    <xf numFmtId="2" fontId="8" fillId="4" borderId="2" xfId="3" applyNumberFormat="1" applyFont="1" applyFill="1" applyBorder="1" applyAlignment="1">
      <alignment vertical="center"/>
    </xf>
    <xf numFmtId="2" fontId="7" fillId="4" borderId="2" xfId="3" applyNumberFormat="1" applyFont="1" applyFill="1" applyBorder="1" applyAlignment="1">
      <alignment vertical="center"/>
    </xf>
    <xf numFmtId="2" fontId="18" fillId="5" borderId="2" xfId="3" applyNumberFormat="1" applyFont="1" applyFill="1" applyBorder="1" applyAlignment="1">
      <alignment horizontal="right" vertical="center" wrapText="1"/>
    </xf>
    <xf numFmtId="2" fontId="18" fillId="8" borderId="2" xfId="3" applyNumberFormat="1" applyFont="1" applyFill="1" applyBorder="1" applyAlignment="1">
      <alignment horizontal="right" vertical="center" wrapText="1"/>
    </xf>
    <xf numFmtId="2" fontId="24" fillId="6" borderId="2" xfId="3" applyNumberFormat="1" applyFont="1" applyFill="1" applyBorder="1" applyAlignment="1">
      <alignment horizontal="right" vertical="center" wrapText="1"/>
    </xf>
    <xf numFmtId="2" fontId="15" fillId="0" borderId="2" xfId="3" applyNumberFormat="1" applyFont="1" applyBorder="1" applyAlignment="1">
      <alignment vertical="center"/>
    </xf>
    <xf numFmtId="2" fontId="15" fillId="7" borderId="2" xfId="3" applyNumberFormat="1" applyFont="1" applyFill="1" applyBorder="1" applyAlignment="1">
      <alignment vertical="center"/>
    </xf>
    <xf numFmtId="2" fontId="16" fillId="0" borderId="2" xfId="3" applyNumberFormat="1" applyFont="1" applyBorder="1" applyAlignment="1">
      <alignment vertical="center"/>
    </xf>
    <xf numFmtId="2" fontId="15" fillId="4" borderId="2" xfId="3" applyNumberFormat="1" applyFont="1" applyFill="1" applyBorder="1" applyAlignment="1">
      <alignment vertical="center"/>
    </xf>
    <xf numFmtId="2" fontId="16" fillId="4" borderId="2" xfId="3" applyNumberFormat="1" applyFont="1" applyFill="1" applyBorder="1" applyAlignment="1">
      <alignment vertical="center"/>
    </xf>
    <xf numFmtId="2" fontId="15" fillId="6" borderId="2" xfId="3" applyNumberFormat="1" applyFont="1" applyFill="1" applyBorder="1" applyAlignment="1">
      <alignment vertical="center"/>
    </xf>
    <xf numFmtId="2" fontId="8" fillId="6" borderId="2" xfId="3" applyNumberFormat="1" applyFont="1" applyFill="1" applyBorder="1" applyAlignment="1">
      <alignment horizontal="right" vertical="center"/>
    </xf>
    <xf numFmtId="2" fontId="8" fillId="9" borderId="2" xfId="3" applyNumberFormat="1" applyFont="1" applyFill="1" applyBorder="1" applyAlignment="1">
      <alignment horizontal="right" vertical="center"/>
    </xf>
    <xf numFmtId="2" fontId="16" fillId="4" borderId="2" xfId="3" applyNumberFormat="1" applyFont="1" applyFill="1" applyBorder="1" applyAlignment="1">
      <alignment horizontal="right" vertical="center"/>
    </xf>
    <xf numFmtId="2" fontId="7" fillId="4" borderId="2" xfId="3" applyNumberFormat="1" applyFont="1" applyFill="1" applyBorder="1" applyAlignment="1">
      <alignment horizontal="right" vertical="center"/>
    </xf>
    <xf numFmtId="2" fontId="22" fillId="10" borderId="2" xfId="3" applyNumberFormat="1" applyFont="1" applyFill="1" applyBorder="1" applyAlignment="1">
      <alignment horizontal="right" vertical="center"/>
    </xf>
    <xf numFmtId="2" fontId="23" fillId="0" borderId="2" xfId="3" applyNumberFormat="1" applyFont="1" applyBorder="1" applyAlignment="1">
      <alignment horizontal="right" vertical="center"/>
    </xf>
    <xf numFmtId="2" fontId="24" fillId="6" borderId="2" xfId="3" applyNumberFormat="1" applyFont="1" applyFill="1" applyBorder="1" applyAlignment="1">
      <alignment horizontal="right" vertical="center"/>
    </xf>
    <xf numFmtId="2" fontId="7" fillId="4" borderId="4" xfId="3" applyNumberFormat="1" applyFont="1" applyFill="1" applyBorder="1" applyAlignment="1">
      <alignment horizontal="right" vertical="center"/>
    </xf>
    <xf numFmtId="2" fontId="18" fillId="5" borderId="4" xfId="3" applyNumberFormat="1" applyFont="1" applyFill="1" applyBorder="1" applyAlignment="1">
      <alignment horizontal="right" vertical="center"/>
    </xf>
    <xf numFmtId="2" fontId="5" fillId="4" borderId="8" xfId="3" applyNumberFormat="1" applyFont="1" applyFill="1" applyBorder="1" applyAlignment="1">
      <alignment vertical="center"/>
    </xf>
    <xf numFmtId="2" fontId="15" fillId="11" borderId="0" xfId="3" applyNumberFormat="1" applyFont="1" applyFill="1" applyAlignment="1">
      <alignment vertical="center"/>
    </xf>
    <xf numFmtId="2" fontId="37" fillId="0" borderId="0" xfId="3" applyNumberFormat="1" applyFont="1" applyAlignment="1">
      <alignment horizontal="right" vertical="center"/>
    </xf>
    <xf numFmtId="2" fontId="7" fillId="0" borderId="0" xfId="3" applyNumberFormat="1" applyFont="1" applyAlignment="1">
      <alignment vertical="center"/>
    </xf>
    <xf numFmtId="2" fontId="28" fillId="0" borderId="0" xfId="3" applyNumberFormat="1" applyFont="1" applyAlignment="1">
      <alignment vertical="center"/>
    </xf>
    <xf numFmtId="1" fontId="13" fillId="0" borderId="2" xfId="3" applyNumberFormat="1" applyFont="1" applyBorder="1" applyAlignment="1">
      <alignment horizontal="center" vertical="center"/>
    </xf>
    <xf numFmtId="2" fontId="17" fillId="8" borderId="2" xfId="3" applyNumberFormat="1" applyFont="1" applyFill="1" applyBorder="1" applyAlignment="1">
      <alignment horizontal="right" vertical="center"/>
    </xf>
    <xf numFmtId="2" fontId="8" fillId="10" borderId="2" xfId="3" applyNumberFormat="1" applyFont="1" applyFill="1" applyBorder="1" applyAlignment="1">
      <alignment horizontal="right" vertical="center"/>
    </xf>
    <xf numFmtId="165" fontId="30" fillId="4" borderId="30" xfId="3" applyNumberFormat="1" applyFont="1" applyFill="1" applyBorder="1" applyAlignment="1">
      <alignment horizontal="right" vertical="center"/>
    </xf>
    <xf numFmtId="2" fontId="8" fillId="0" borderId="29" xfId="3" applyNumberFormat="1" applyFont="1" applyBorder="1" applyAlignment="1">
      <alignment horizontal="right" vertical="center"/>
    </xf>
    <xf numFmtId="2" fontId="17" fillId="8" borderId="4" xfId="3" applyNumberFormat="1" applyFont="1" applyFill="1" applyBorder="1" applyAlignment="1">
      <alignment horizontal="right" vertical="center"/>
    </xf>
    <xf numFmtId="49" fontId="16" fillId="0" borderId="2" xfId="3" applyNumberFormat="1" applyFont="1" applyBorder="1" applyAlignment="1">
      <alignment horizontal="center" vertical="center"/>
    </xf>
    <xf numFmtId="0" fontId="15" fillId="3" borderId="2" xfId="3" applyFont="1" applyFill="1" applyBorder="1" applyAlignment="1">
      <alignment horizontal="center" vertical="center"/>
    </xf>
    <xf numFmtId="3" fontId="8" fillId="4" borderId="0" xfId="3" applyNumberFormat="1" applyFont="1" applyFill="1" applyAlignment="1">
      <alignment horizontal="center" vertical="center"/>
    </xf>
    <xf numFmtId="165" fontId="5" fillId="4" borderId="2" xfId="3" applyNumberFormat="1" applyFont="1" applyFill="1" applyBorder="1" applyAlignment="1">
      <alignment horizontal="center" vertical="center" wrapText="1"/>
    </xf>
    <xf numFmtId="3" fontId="5" fillId="4" borderId="2" xfId="3" applyNumberFormat="1" applyFont="1" applyFill="1" applyBorder="1" applyAlignment="1">
      <alignment horizontal="center" vertical="center" wrapText="1"/>
    </xf>
    <xf numFmtId="0" fontId="59" fillId="0" borderId="0" xfId="0" applyFont="1" applyAlignment="1">
      <alignment vertical="center"/>
    </xf>
    <xf numFmtId="2" fontId="15" fillId="6" borderId="9" xfId="4" applyNumberFormat="1" applyFont="1" applyFill="1" applyBorder="1" applyAlignment="1">
      <alignment horizontal="right" vertical="center" wrapText="1"/>
    </xf>
    <xf numFmtId="2" fontId="47" fillId="5" borderId="9" xfId="4" applyNumberFormat="1" applyFont="1" applyFill="1" applyBorder="1" applyAlignment="1">
      <alignment horizontal="right" vertical="center" wrapText="1"/>
    </xf>
    <xf numFmtId="2" fontId="15" fillId="0" borderId="9" xfId="4" applyNumberFormat="1" applyFont="1" applyFill="1" applyBorder="1" applyAlignment="1">
      <alignment horizontal="right" vertical="center" wrapText="1"/>
    </xf>
    <xf numFmtId="2" fontId="47" fillId="5" borderId="32" xfId="4" applyNumberFormat="1" applyFont="1" applyFill="1" applyBorder="1" applyAlignment="1">
      <alignment horizontal="right" vertical="center" wrapText="1"/>
    </xf>
    <xf numFmtId="2" fontId="15" fillId="0" borderId="29" xfId="4" applyNumberFormat="1" applyFont="1" applyFill="1" applyBorder="1" applyAlignment="1">
      <alignment horizontal="right" vertical="center" wrapText="1"/>
    </xf>
    <xf numFmtId="2" fontId="15" fillId="5" borderId="9" xfId="4" applyNumberFormat="1" applyFont="1" applyFill="1" applyBorder="1" applyAlignment="1">
      <alignment horizontal="right" vertical="center" wrapText="1"/>
    </xf>
    <xf numFmtId="2" fontId="15" fillId="7" borderId="9" xfId="4" applyNumberFormat="1" applyFont="1" applyFill="1" applyBorder="1" applyAlignment="1">
      <alignment horizontal="right" vertical="center" wrapText="1"/>
    </xf>
    <xf numFmtId="0" fontId="63" fillId="0" borderId="12" xfId="0" applyFont="1" applyBorder="1" applyAlignment="1">
      <alignment horizontal="left" wrapText="1"/>
    </xf>
    <xf numFmtId="0" fontId="64" fillId="0" borderId="10" xfId="0" quotePrefix="1" applyFont="1" applyBorder="1" applyAlignment="1">
      <alignment horizontal="center" wrapText="1"/>
    </xf>
    <xf numFmtId="0" fontId="64" fillId="9" borderId="10" xfId="0" applyFont="1" applyFill="1" applyBorder="1" applyAlignment="1">
      <alignment horizontal="left" vertical="center" wrapText="1"/>
    </xf>
    <xf numFmtId="0" fontId="64" fillId="9" borderId="2" xfId="0" applyFont="1" applyFill="1" applyBorder="1" applyAlignment="1">
      <alignment horizontal="left" vertical="center" wrapText="1"/>
    </xf>
    <xf numFmtId="0" fontId="79" fillId="0" borderId="10" xfId="3" applyFont="1" applyBorder="1" applyAlignment="1">
      <alignment horizontal="center"/>
    </xf>
    <xf numFmtId="3" fontId="23" fillId="4" borderId="10" xfId="3" applyNumberFormat="1" applyFont="1" applyFill="1" applyBorder="1" applyAlignment="1">
      <alignment horizontal="center" vertical="center" wrapText="1"/>
    </xf>
    <xf numFmtId="3" fontId="5" fillId="4" borderId="0" xfId="3" applyNumberFormat="1" applyFont="1" applyFill="1" applyAlignment="1">
      <alignment horizontal="center" vertical="center" wrapText="1"/>
    </xf>
    <xf numFmtId="2" fontId="33" fillId="6" borderId="18" xfId="3" applyNumberFormat="1" applyFont="1" applyFill="1" applyBorder="1" applyAlignment="1">
      <alignment horizontal="right" vertical="center" wrapText="1"/>
    </xf>
    <xf numFmtId="0" fontId="113" fillId="0" borderId="13" xfId="3" applyFont="1" applyBorder="1"/>
    <xf numFmtId="0" fontId="114" fillId="0" borderId="0" xfId="3" applyFont="1"/>
    <xf numFmtId="0" fontId="5" fillId="2" borderId="0" xfId="6" applyFont="1" applyFill="1" applyAlignment="1">
      <alignment horizontal="center" vertical="center" wrapText="1"/>
    </xf>
    <xf numFmtId="0" fontId="43" fillId="2" borderId="0" xfId="6" applyFont="1" applyFill="1" applyAlignment="1">
      <alignment vertical="center" wrapText="1"/>
    </xf>
    <xf numFmtId="0" fontId="43" fillId="2" borderId="0" xfId="6" applyFont="1" applyFill="1" applyAlignment="1">
      <alignment wrapText="1"/>
    </xf>
    <xf numFmtId="0" fontId="43" fillId="2" borderId="0" xfId="6" applyFont="1" applyFill="1" applyAlignment="1">
      <alignment horizontal="right" wrapText="1"/>
    </xf>
    <xf numFmtId="0" fontId="8" fillId="2" borderId="17" xfId="6" applyFont="1" applyFill="1" applyBorder="1" applyAlignment="1">
      <alignment horizontal="center" vertical="center" wrapText="1"/>
    </xf>
    <xf numFmtId="0" fontId="8" fillId="2" borderId="33" xfId="6" applyFont="1" applyFill="1" applyBorder="1" applyAlignment="1">
      <alignment horizontal="center" vertical="center" wrapText="1"/>
    </xf>
    <xf numFmtId="0" fontId="8" fillId="2" borderId="2" xfId="6" applyFont="1" applyFill="1" applyBorder="1" applyAlignment="1">
      <alignment horizontal="center" vertical="center" wrapText="1"/>
    </xf>
    <xf numFmtId="0" fontId="10" fillId="0" borderId="0" xfId="3" applyFont="1"/>
    <xf numFmtId="0" fontId="115" fillId="2" borderId="17" xfId="6" applyFont="1" applyFill="1" applyBorder="1" applyAlignment="1">
      <alignment horizontal="center" vertical="center" wrapText="1"/>
    </xf>
    <xf numFmtId="0" fontId="116" fillId="0" borderId="14" xfId="0" applyFont="1" applyBorder="1" applyAlignment="1">
      <alignment horizontal="center" vertical="center" wrapText="1"/>
    </xf>
    <xf numFmtId="0" fontId="116" fillId="0" borderId="2" xfId="0" applyFont="1" applyBorder="1" applyAlignment="1">
      <alignment horizontal="center" vertical="center" wrapText="1"/>
    </xf>
    <xf numFmtId="0" fontId="117" fillId="0" borderId="0" xfId="3" applyFont="1"/>
    <xf numFmtId="0" fontId="5" fillId="2" borderId="17" xfId="6" applyFont="1" applyFill="1" applyBorder="1" applyAlignment="1">
      <alignment horizontal="center" vertical="center" wrapText="1"/>
    </xf>
    <xf numFmtId="0" fontId="5" fillId="2" borderId="17" xfId="6" applyFont="1" applyFill="1" applyBorder="1" applyAlignment="1">
      <alignment horizontal="left" vertical="center" wrapText="1"/>
    </xf>
    <xf numFmtId="165" fontId="5" fillId="2" borderId="17" xfId="6" applyNumberFormat="1" applyFont="1" applyFill="1" applyBorder="1" applyAlignment="1">
      <alignment horizontal="right" vertical="center" wrapText="1"/>
    </xf>
    <xf numFmtId="165" fontId="5" fillId="2" borderId="33" xfId="6" applyNumberFormat="1" applyFont="1" applyFill="1" applyBorder="1" applyAlignment="1">
      <alignment horizontal="right" vertical="center" wrapText="1"/>
    </xf>
    <xf numFmtId="3" fontId="5" fillId="2" borderId="2" xfId="6" applyNumberFormat="1" applyFont="1" applyFill="1" applyBorder="1" applyAlignment="1">
      <alignment horizontal="right" vertical="center"/>
    </xf>
    <xf numFmtId="0" fontId="5" fillId="2" borderId="17" xfId="3" applyFont="1" applyFill="1" applyBorder="1" applyAlignment="1">
      <alignment horizontal="center" vertical="center"/>
    </xf>
    <xf numFmtId="49" fontId="5" fillId="3" borderId="17" xfId="3" applyNumberFormat="1" applyFont="1" applyFill="1" applyBorder="1" applyAlignment="1">
      <alignment horizontal="center" vertical="center"/>
    </xf>
    <xf numFmtId="0" fontId="5" fillId="2" borderId="17" xfId="3" applyFont="1" applyFill="1" applyBorder="1" applyAlignment="1">
      <alignment vertical="center"/>
    </xf>
    <xf numFmtId="49" fontId="5" fillId="3" borderId="17" xfId="3" applyNumberFormat="1" applyFont="1" applyFill="1" applyBorder="1" applyAlignment="1">
      <alignment vertical="center"/>
    </xf>
    <xf numFmtId="165" fontId="5" fillId="3" borderId="17" xfId="3" applyNumberFormat="1" applyFont="1" applyFill="1" applyBorder="1" applyAlignment="1">
      <alignment vertical="center"/>
    </xf>
    <xf numFmtId="165" fontId="5" fillId="3" borderId="33" xfId="3" applyNumberFormat="1" applyFont="1" applyFill="1" applyBorder="1" applyAlignment="1">
      <alignment vertical="center"/>
    </xf>
    <xf numFmtId="49" fontId="5" fillId="3" borderId="0" xfId="3" applyNumberFormat="1" applyFont="1" applyFill="1" applyAlignment="1">
      <alignment horizontal="center" vertical="center"/>
    </xf>
    <xf numFmtId="0" fontId="118" fillId="2" borderId="0" xfId="3" applyFont="1" applyFill="1"/>
    <xf numFmtId="49" fontId="5" fillId="3" borderId="0" xfId="3" applyNumberFormat="1" applyFont="1" applyFill="1" applyAlignment="1">
      <alignment vertical="center"/>
    </xf>
    <xf numFmtId="3" fontId="5" fillId="3" borderId="0" xfId="3" applyNumberFormat="1" applyFont="1" applyFill="1" applyAlignment="1">
      <alignment horizontal="right" vertical="center"/>
    </xf>
    <xf numFmtId="0" fontId="114" fillId="2" borderId="0" xfId="3" applyFont="1" applyFill="1"/>
    <xf numFmtId="0" fontId="5" fillId="0" borderId="17" xfId="7" applyFont="1" applyBorder="1" applyAlignment="1">
      <alignment horizontal="center" vertical="center" wrapText="1"/>
    </xf>
    <xf numFmtId="0" fontId="5" fillId="0" borderId="17" xfId="3" applyFont="1" applyBorder="1" applyAlignment="1">
      <alignment horizontal="center" vertical="center"/>
    </xf>
    <xf numFmtId="0" fontId="5" fillId="0" borderId="17" xfId="7" applyFont="1" applyBorder="1" applyAlignment="1">
      <alignment horizontal="left" vertical="center" wrapText="1"/>
    </xf>
    <xf numFmtId="165" fontId="30" fillId="2" borderId="17" xfId="3" applyNumberFormat="1" applyFont="1" applyFill="1" applyBorder="1" applyAlignment="1">
      <alignment vertical="center"/>
    </xf>
    <xf numFmtId="165" fontId="30" fillId="2" borderId="33" xfId="3" applyNumberFormat="1" applyFont="1" applyFill="1" applyBorder="1" applyAlignment="1">
      <alignment vertical="center"/>
    </xf>
    <xf numFmtId="0" fontId="43" fillId="2" borderId="17" xfId="3" applyFont="1" applyFill="1" applyBorder="1" applyAlignment="1">
      <alignment horizontal="center" vertical="center"/>
    </xf>
    <xf numFmtId="0" fontId="43" fillId="0" borderId="17" xfId="3" applyFont="1" applyBorder="1" applyAlignment="1">
      <alignment horizontal="center" vertical="center"/>
    </xf>
    <xf numFmtId="0" fontId="43" fillId="0" borderId="17" xfId="7" applyFont="1" applyBorder="1" applyAlignment="1">
      <alignment horizontal="center" vertical="center" wrapText="1"/>
    </xf>
    <xf numFmtId="0" fontId="43" fillId="0" borderId="17" xfId="7" applyFont="1" applyBorder="1" applyAlignment="1">
      <alignment horizontal="left" vertical="center" wrapText="1"/>
    </xf>
    <xf numFmtId="165" fontId="43" fillId="3" borderId="17" xfId="3" applyNumberFormat="1" applyFont="1" applyFill="1" applyBorder="1" applyAlignment="1">
      <alignment vertical="center"/>
    </xf>
    <xf numFmtId="165" fontId="43" fillId="3" borderId="17" xfId="3" applyNumberFormat="1" applyFont="1" applyFill="1" applyBorder="1" applyAlignment="1">
      <alignment horizontal="right" vertical="center"/>
    </xf>
    <xf numFmtId="165" fontId="43" fillId="3" borderId="33" xfId="3" applyNumberFormat="1" applyFont="1" applyFill="1" applyBorder="1" applyAlignment="1">
      <alignment horizontal="right" vertical="center"/>
    </xf>
    <xf numFmtId="3" fontId="92" fillId="2" borderId="2" xfId="6" applyNumberFormat="1" applyFont="1" applyFill="1" applyBorder="1" applyAlignment="1">
      <alignment horizontal="right" vertical="center"/>
    </xf>
    <xf numFmtId="0" fontId="85" fillId="2" borderId="17" xfId="6" quotePrefix="1" applyFont="1" applyFill="1" applyBorder="1" applyAlignment="1">
      <alignment horizontal="center" vertical="center"/>
    </xf>
    <xf numFmtId="0" fontId="85" fillId="2" borderId="17" xfId="6" quotePrefix="1" applyFont="1" applyFill="1" applyBorder="1" applyAlignment="1">
      <alignment horizontal="left" vertical="center"/>
    </xf>
    <xf numFmtId="0" fontId="85" fillId="2" borderId="17" xfId="6" quotePrefix="1" applyFont="1" applyFill="1" applyBorder="1" applyAlignment="1">
      <alignment horizontal="right" vertical="center"/>
    </xf>
    <xf numFmtId="0" fontId="85" fillId="2" borderId="17" xfId="6" quotePrefix="1" applyFont="1" applyFill="1" applyBorder="1" applyAlignment="1">
      <alignment horizontal="left" vertical="center" wrapText="1"/>
    </xf>
    <xf numFmtId="165" fontId="92" fillId="2" borderId="17" xfId="6" quotePrefix="1" applyNumberFormat="1" applyFont="1" applyFill="1" applyBorder="1" applyAlignment="1">
      <alignment horizontal="right" vertical="center" wrapText="1"/>
    </xf>
    <xf numFmtId="165" fontId="92" fillId="2" borderId="33" xfId="6" quotePrefix="1" applyNumberFormat="1" applyFont="1" applyFill="1" applyBorder="1" applyAlignment="1">
      <alignment horizontal="right" vertical="center" wrapText="1"/>
    </xf>
    <xf numFmtId="0" fontId="5" fillId="2" borderId="17" xfId="3" applyFont="1" applyFill="1" applyBorder="1" applyAlignment="1">
      <alignment horizontal="left" vertical="center"/>
    </xf>
    <xf numFmtId="0" fontId="118" fillId="2" borderId="17" xfId="3" applyFont="1" applyFill="1" applyBorder="1"/>
    <xf numFmtId="0" fontId="5" fillId="2" borderId="17" xfId="3" applyFont="1" applyFill="1" applyBorder="1" applyAlignment="1">
      <alignment vertical="center" wrapText="1"/>
    </xf>
    <xf numFmtId="165" fontId="5" fillId="2" borderId="17" xfId="3" applyNumberFormat="1" applyFont="1" applyFill="1" applyBorder="1" applyAlignment="1">
      <alignment vertical="center" wrapText="1"/>
    </xf>
    <xf numFmtId="165" fontId="5" fillId="2" borderId="33" xfId="3" applyNumberFormat="1" applyFont="1" applyFill="1" applyBorder="1" applyAlignment="1">
      <alignment vertical="center" wrapText="1"/>
    </xf>
    <xf numFmtId="0" fontId="5" fillId="2" borderId="17" xfId="3" applyFont="1" applyFill="1" applyBorder="1" applyAlignment="1">
      <alignment horizontal="center" vertical="center" wrapText="1"/>
    </xf>
    <xf numFmtId="0" fontId="118" fillId="0" borderId="0" xfId="3" applyFont="1"/>
    <xf numFmtId="3" fontId="5" fillId="2" borderId="17" xfId="3" applyNumberFormat="1" applyFont="1" applyFill="1" applyBorder="1" applyAlignment="1">
      <alignment vertical="center" wrapText="1"/>
    </xf>
    <xf numFmtId="0" fontId="43" fillId="2" borderId="17" xfId="3" applyFont="1" applyFill="1" applyBorder="1" applyAlignment="1">
      <alignment horizontal="center" vertical="center" wrapText="1"/>
    </xf>
    <xf numFmtId="0" fontId="114" fillId="2" borderId="17" xfId="3" applyFont="1" applyFill="1" applyBorder="1"/>
    <xf numFmtId="3" fontId="43" fillId="2" borderId="17" xfId="3" applyNumberFormat="1" applyFont="1" applyFill="1" applyBorder="1" applyAlignment="1">
      <alignment vertical="center" wrapText="1"/>
    </xf>
    <xf numFmtId="165" fontId="43" fillId="2" borderId="17" xfId="3" applyNumberFormat="1" applyFont="1" applyFill="1" applyBorder="1" applyAlignment="1">
      <alignment vertical="center" wrapText="1"/>
    </xf>
    <xf numFmtId="165" fontId="43" fillId="2" borderId="17" xfId="3" applyNumberFormat="1" applyFont="1" applyFill="1" applyBorder="1" applyAlignment="1">
      <alignment horizontal="right" vertical="center"/>
    </xf>
    <xf numFmtId="165" fontId="43" fillId="2" borderId="33" xfId="3" applyNumberFormat="1" applyFont="1" applyFill="1" applyBorder="1" applyAlignment="1">
      <alignment horizontal="right" vertical="center"/>
    </xf>
    <xf numFmtId="3" fontId="31" fillId="2" borderId="2" xfId="6" applyNumberFormat="1" applyFont="1" applyFill="1" applyBorder="1" applyAlignment="1">
      <alignment horizontal="right" vertical="center"/>
    </xf>
    <xf numFmtId="0" fontId="119" fillId="0" borderId="0" xfId="3" applyFont="1"/>
    <xf numFmtId="2" fontId="33" fillId="0" borderId="0" xfId="5" applyNumberFormat="1" applyFont="1" applyAlignment="1">
      <alignment horizontal="right" vertical="center"/>
    </xf>
    <xf numFmtId="2" fontId="5" fillId="0" borderId="2" xfId="5" applyNumberFormat="1" applyFont="1" applyBorder="1" applyAlignment="1">
      <alignment horizontal="right" vertical="center" wrapText="1"/>
    </xf>
    <xf numFmtId="2" fontId="5" fillId="15" borderId="2" xfId="5" applyNumberFormat="1" applyFont="1" applyFill="1" applyBorder="1" applyAlignment="1">
      <alignment horizontal="right" vertical="center" wrapText="1"/>
    </xf>
    <xf numFmtId="2" fontId="7" fillId="0" borderId="0" xfId="5" applyNumberFormat="1" applyFont="1" applyAlignment="1">
      <alignment vertical="center"/>
    </xf>
    <xf numFmtId="2" fontId="8" fillId="9" borderId="2" xfId="5" applyNumberFormat="1" applyFont="1" applyFill="1" applyBorder="1" applyAlignment="1">
      <alignment horizontal="right" vertical="center" wrapText="1"/>
    </xf>
    <xf numFmtId="2" fontId="8" fillId="0" borderId="2" xfId="5" applyNumberFormat="1" applyFont="1" applyBorder="1" applyAlignment="1">
      <alignment horizontal="right" vertical="center" wrapText="1"/>
    </xf>
    <xf numFmtId="165" fontId="8" fillId="0" borderId="2" xfId="0" applyNumberFormat="1" applyFont="1" applyBorder="1" applyAlignment="1">
      <alignment horizontal="right" vertical="center"/>
    </xf>
    <xf numFmtId="2" fontId="8" fillId="10" borderId="2" xfId="5" applyNumberFormat="1" applyFont="1" applyFill="1" applyBorder="1" applyAlignment="1">
      <alignment horizontal="right" vertical="center" wrapText="1"/>
    </xf>
    <xf numFmtId="165" fontId="33" fillId="8" borderId="2" xfId="5" applyNumberFormat="1" applyFont="1" applyFill="1" applyBorder="1" applyAlignment="1">
      <alignment horizontal="right" vertical="center" wrapText="1"/>
    </xf>
    <xf numFmtId="2" fontId="8" fillId="8" borderId="2" xfId="5" applyNumberFormat="1" applyFont="1" applyFill="1" applyBorder="1" applyAlignment="1">
      <alignment horizontal="right" vertical="center" wrapText="1"/>
    </xf>
    <xf numFmtId="2" fontId="8" fillId="15" borderId="2" xfId="5" applyNumberFormat="1" applyFont="1" applyFill="1" applyBorder="1" applyAlignment="1">
      <alignment horizontal="right" vertical="center" wrapText="1"/>
    </xf>
    <xf numFmtId="0" fontId="15" fillId="0" borderId="2" xfId="3" applyFont="1" applyBorder="1"/>
    <xf numFmtId="49" fontId="15" fillId="7" borderId="2" xfId="5" applyNumberFormat="1" applyFont="1" applyFill="1" applyBorder="1" applyAlignment="1">
      <alignment horizontal="right" vertical="center"/>
    </xf>
    <xf numFmtId="49" fontId="15" fillId="7" borderId="2" xfId="5" applyNumberFormat="1" applyFont="1" applyFill="1" applyBorder="1" applyAlignment="1">
      <alignment vertical="center"/>
    </xf>
    <xf numFmtId="165" fontId="108" fillId="4" borderId="34" xfId="3" applyNumberFormat="1" applyFont="1" applyFill="1" applyBorder="1" applyAlignment="1">
      <alignment horizontal="center" vertical="center" wrapText="1"/>
    </xf>
    <xf numFmtId="0" fontId="63" fillId="0" borderId="0" xfId="0" applyFont="1" applyAlignment="1">
      <alignment horizontal="left" wrapText="1"/>
    </xf>
    <xf numFmtId="0" fontId="120" fillId="0" borderId="0" xfId="0" applyFont="1"/>
    <xf numFmtId="0" fontId="121" fillId="0" borderId="0" xfId="0" applyFont="1"/>
    <xf numFmtId="0" fontId="124" fillId="0" borderId="26" xfId="3" applyFont="1" applyBorder="1" applyAlignment="1">
      <alignment horizontal="center" vertical="center" wrapText="1"/>
    </xf>
    <xf numFmtId="0" fontId="124" fillId="0" borderId="20" xfId="3" applyFont="1" applyBorder="1" applyAlignment="1">
      <alignment horizontal="center" vertical="center" wrapText="1"/>
    </xf>
    <xf numFmtId="0" fontId="122" fillId="0" borderId="0" xfId="0" applyFont="1"/>
    <xf numFmtId="2" fontId="123" fillId="0" borderId="0" xfId="8" applyNumberFormat="1" applyFont="1" applyAlignment="1">
      <alignment horizontal="right" vertical="center"/>
    </xf>
    <xf numFmtId="0" fontId="123" fillId="0" borderId="0" xfId="0" applyFont="1"/>
    <xf numFmtId="0" fontId="123" fillId="0" borderId="0" xfId="2" applyFont="1" applyAlignment="1">
      <alignment horizontal="center" vertical="center" wrapText="1"/>
    </xf>
    <xf numFmtId="165" fontId="123" fillId="0" borderId="0" xfId="3" applyNumberFormat="1" applyFont="1" applyAlignment="1">
      <alignment horizontal="right" vertical="center" wrapText="1"/>
    </xf>
    <xf numFmtId="0" fontId="125" fillId="0" borderId="2" xfId="0" applyFont="1" applyBorder="1"/>
    <xf numFmtId="0" fontId="124" fillId="0" borderId="19" xfId="2" applyFont="1" applyBorder="1" applyAlignment="1">
      <alignment horizontal="center" vertical="center" wrapText="1"/>
    </xf>
    <xf numFmtId="0" fontId="124" fillId="0" borderId="2" xfId="6" applyFont="1" applyBorder="1" applyAlignment="1">
      <alignment horizontal="center" vertical="center" wrapText="1"/>
    </xf>
    <xf numFmtId="0" fontId="124" fillId="0" borderId="22" xfId="2" applyFont="1" applyBorder="1" applyAlignment="1">
      <alignment horizontal="center" vertical="center" wrapText="1"/>
    </xf>
    <xf numFmtId="165" fontId="124" fillId="0" borderId="27" xfId="3" applyNumberFormat="1" applyFont="1" applyBorder="1" applyAlignment="1">
      <alignment horizontal="right" vertical="center" wrapText="1"/>
    </xf>
    <xf numFmtId="2" fontId="124" fillId="0" borderId="27" xfId="8" applyNumberFormat="1" applyFont="1" applyBorder="1" applyAlignment="1">
      <alignment horizontal="right" vertical="center"/>
    </xf>
    <xf numFmtId="49" fontId="124" fillId="0" borderId="22" xfId="8" applyNumberFormat="1" applyFont="1" applyBorder="1" applyAlignment="1">
      <alignment vertical="center" wrapText="1"/>
    </xf>
    <xf numFmtId="165" fontId="124" fillId="0" borderId="27" xfId="8" applyNumberFormat="1" applyFont="1" applyBorder="1" applyAlignment="1">
      <alignment horizontal="right" vertical="center"/>
    </xf>
    <xf numFmtId="49" fontId="124" fillId="0" borderId="22" xfId="8" applyNumberFormat="1" applyFont="1" applyBorder="1" applyAlignment="1">
      <alignment vertical="center"/>
    </xf>
    <xf numFmtId="49" fontId="124" fillId="0" borderId="23" xfId="8" applyNumberFormat="1" applyFont="1" applyBorder="1" applyAlignment="1">
      <alignment vertical="center"/>
    </xf>
    <xf numFmtId="49" fontId="124" fillId="0" borderId="23" xfId="8" applyNumberFormat="1" applyFont="1" applyBorder="1" applyAlignment="1">
      <alignment vertical="center" wrapText="1"/>
    </xf>
    <xf numFmtId="49" fontId="124" fillId="0" borderId="35" xfId="8" applyNumberFormat="1" applyFont="1" applyBorder="1" applyAlignment="1">
      <alignment vertical="center" wrapText="1"/>
    </xf>
    <xf numFmtId="165" fontId="124" fillId="0" borderId="28" xfId="8" applyNumberFormat="1" applyFont="1" applyBorder="1" applyAlignment="1">
      <alignment horizontal="right" vertical="center"/>
    </xf>
    <xf numFmtId="165" fontId="124" fillId="0" borderId="2" xfId="8" applyNumberFormat="1" applyFont="1" applyBorder="1" applyAlignment="1">
      <alignment horizontal="right" vertical="center"/>
    </xf>
    <xf numFmtId="165" fontId="124" fillId="0" borderId="4" xfId="8" applyNumberFormat="1" applyFont="1" applyBorder="1" applyAlignment="1">
      <alignment horizontal="right" vertical="center"/>
    </xf>
    <xf numFmtId="49" fontId="124" fillId="0" borderId="2" xfId="8" applyNumberFormat="1" applyFont="1" applyBorder="1" applyAlignment="1">
      <alignment vertical="center" wrapText="1"/>
    </xf>
    <xf numFmtId="0" fontId="125" fillId="0" borderId="2" xfId="0" applyFont="1" applyBorder="1" applyAlignment="1">
      <alignment wrapText="1"/>
    </xf>
    <xf numFmtId="166" fontId="125" fillId="0" borderId="2" xfId="0" applyNumberFormat="1" applyFont="1" applyBorder="1"/>
    <xf numFmtId="2" fontId="125" fillId="0" borderId="2" xfId="0" applyNumberFormat="1" applyFont="1" applyBorder="1"/>
    <xf numFmtId="0" fontId="125" fillId="0" borderId="2" xfId="0" applyFont="1" applyBorder="1" applyAlignment="1">
      <alignment horizontal="center"/>
    </xf>
    <xf numFmtId="0" fontId="126" fillId="0" borderId="0" xfId="0" applyFont="1"/>
    <xf numFmtId="3" fontId="127" fillId="4" borderId="2" xfId="3" applyNumberFormat="1" applyFont="1" applyFill="1" applyBorder="1" applyAlignment="1">
      <alignment horizontal="center" vertical="center" wrapText="1"/>
    </xf>
    <xf numFmtId="0" fontId="127" fillId="4" borderId="2" xfId="3" applyFont="1" applyFill="1" applyBorder="1" applyAlignment="1">
      <alignment horizontal="center" vertical="center" wrapText="1"/>
    </xf>
    <xf numFmtId="0" fontId="128" fillId="0" borderId="2" xfId="3" applyFont="1" applyBorder="1"/>
    <xf numFmtId="165" fontId="128" fillId="0" borderId="2" xfId="3" applyNumberFormat="1" applyFont="1" applyBorder="1"/>
    <xf numFmtId="4" fontId="35" fillId="0" borderId="0" xfId="5" applyNumberFormat="1" applyFont="1" applyAlignment="1">
      <alignment horizontal="left"/>
    </xf>
    <xf numFmtId="165" fontId="129" fillId="4" borderId="34" xfId="3" applyNumberFormat="1" applyFont="1" applyFill="1" applyBorder="1" applyAlignment="1">
      <alignment horizontal="center" vertical="center" wrapText="1"/>
    </xf>
    <xf numFmtId="165" fontId="130" fillId="4" borderId="34" xfId="3" applyNumberFormat="1" applyFont="1" applyFill="1" applyBorder="1" applyAlignment="1">
      <alignment horizontal="center" vertical="center" wrapText="1"/>
    </xf>
    <xf numFmtId="165" fontId="108" fillId="4" borderId="31" xfId="3" applyNumberFormat="1" applyFont="1" applyFill="1" applyBorder="1" applyAlignment="1">
      <alignment horizontal="center" vertical="center" wrapText="1"/>
    </xf>
    <xf numFmtId="3" fontId="11" fillId="4" borderId="22" xfId="3" applyNumberFormat="1" applyFont="1" applyFill="1" applyBorder="1" applyAlignment="1">
      <alignment horizontal="center" vertical="center" wrapText="1"/>
    </xf>
    <xf numFmtId="165" fontId="33" fillId="6" borderId="22" xfId="3" applyNumberFormat="1" applyFont="1" applyFill="1" applyBorder="1" applyAlignment="1">
      <alignment horizontal="right" vertical="center" wrapText="1"/>
    </xf>
    <xf numFmtId="165" fontId="15" fillId="0" borderId="22" xfId="8" applyNumberFormat="1" applyFont="1" applyBorder="1" applyAlignment="1">
      <alignment horizontal="right" vertical="center"/>
    </xf>
    <xf numFmtId="165" fontId="16" fillId="0" borderId="22" xfId="8" applyNumberFormat="1" applyFont="1" applyBorder="1" applyAlignment="1">
      <alignment horizontal="right" vertical="center"/>
    </xf>
    <xf numFmtId="165" fontId="15" fillId="0" borderId="23" xfId="8" applyNumberFormat="1" applyFont="1" applyBorder="1" applyAlignment="1">
      <alignment horizontal="right" vertical="center"/>
    </xf>
    <xf numFmtId="165" fontId="16" fillId="2" borderId="13" xfId="2" applyNumberFormat="1" applyFont="1" applyFill="1" applyBorder="1" applyAlignment="1">
      <alignment horizontal="right" vertical="center" wrapText="1"/>
    </xf>
    <xf numFmtId="165" fontId="15" fillId="0" borderId="35" xfId="8" applyNumberFormat="1" applyFont="1" applyBorder="1" applyAlignment="1">
      <alignment horizontal="right" vertical="center"/>
    </xf>
    <xf numFmtId="165" fontId="108" fillId="4" borderId="2" xfId="3" applyNumberFormat="1" applyFont="1" applyFill="1" applyBorder="1" applyAlignment="1">
      <alignment horizontal="center" vertical="center" wrapText="1"/>
    </xf>
    <xf numFmtId="3" fontId="11" fillId="4" borderId="2" xfId="3" applyNumberFormat="1" applyFont="1" applyFill="1" applyBorder="1" applyAlignment="1">
      <alignment horizontal="center" vertical="center" wrapText="1"/>
    </xf>
    <xf numFmtId="165" fontId="33" fillId="6" borderId="2" xfId="3" applyNumberFormat="1" applyFont="1" applyFill="1" applyBorder="1" applyAlignment="1">
      <alignment horizontal="right" vertical="center" wrapText="1"/>
    </xf>
    <xf numFmtId="165" fontId="15" fillId="0" borderId="2" xfId="8" applyNumberFormat="1" applyFont="1" applyBorder="1" applyAlignment="1">
      <alignment horizontal="right" vertical="center"/>
    </xf>
    <xf numFmtId="165" fontId="16" fillId="0" borderId="2" xfId="8" applyNumberFormat="1" applyFont="1" applyBorder="1" applyAlignment="1">
      <alignment horizontal="right" vertical="center"/>
    </xf>
    <xf numFmtId="0" fontId="101" fillId="2" borderId="36" xfId="2" applyFont="1" applyFill="1" applyBorder="1" applyAlignment="1">
      <alignment horizontal="center" vertical="center" wrapText="1"/>
    </xf>
    <xf numFmtId="0" fontId="99" fillId="2" borderId="2" xfId="2" applyFont="1" applyFill="1" applyBorder="1" applyAlignment="1">
      <alignment horizontal="center" vertical="center" wrapText="1"/>
    </xf>
    <xf numFmtId="2" fontId="15" fillId="0" borderId="18" xfId="8" applyNumberFormat="1" applyFont="1" applyBorder="1" applyAlignment="1">
      <alignment horizontal="right" vertical="center"/>
    </xf>
    <xf numFmtId="2" fontId="16" fillId="0" borderId="18" xfId="8" applyNumberFormat="1" applyFont="1" applyBorder="1" applyAlignment="1">
      <alignment horizontal="right" vertical="center"/>
    </xf>
    <xf numFmtId="2" fontId="15" fillId="0" borderId="24" xfId="8" applyNumberFormat="1" applyFont="1" applyBorder="1" applyAlignment="1">
      <alignment horizontal="right" vertical="center"/>
    </xf>
    <xf numFmtId="2" fontId="16" fillId="0" borderId="10" xfId="8" applyNumberFormat="1" applyFont="1" applyBorder="1" applyAlignment="1">
      <alignment horizontal="right" vertical="center"/>
    </xf>
    <xf numFmtId="2" fontId="15" fillId="0" borderId="25" xfId="8" applyNumberFormat="1" applyFont="1" applyBorder="1" applyAlignment="1">
      <alignment horizontal="right" vertical="center"/>
    </xf>
    <xf numFmtId="3" fontId="11" fillId="4" borderId="24" xfId="3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right"/>
    </xf>
    <xf numFmtId="165" fontId="7" fillId="2" borderId="2" xfId="5" applyNumberFormat="1" applyFont="1" applyFill="1" applyBorder="1" applyAlignment="1">
      <alignment horizontal="right" vertical="center" wrapText="1"/>
    </xf>
    <xf numFmtId="165" fontId="24" fillId="0" borderId="2" xfId="3" applyNumberFormat="1" applyFont="1" applyBorder="1" applyAlignment="1">
      <alignment horizontal="right" vertical="center"/>
    </xf>
    <xf numFmtId="165" fontId="15" fillId="0" borderId="2" xfId="5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/>
    </xf>
    <xf numFmtId="3" fontId="85" fillId="0" borderId="0" xfId="5" applyNumberFormat="1" applyFont="1" applyAlignment="1">
      <alignment horizontal="left"/>
    </xf>
    <xf numFmtId="3" fontId="86" fillId="0" borderId="0" xfId="5" applyNumberFormat="1" applyFont="1"/>
    <xf numFmtId="3" fontId="30" fillId="0" borderId="0" xfId="5" applyNumberFormat="1" applyFont="1"/>
    <xf numFmtId="3" fontId="88" fillId="0" borderId="0" xfId="5" applyNumberFormat="1" applyFont="1"/>
    <xf numFmtId="3" fontId="5" fillId="0" borderId="0" xfId="5" applyNumberFormat="1" applyFont="1" applyAlignment="1">
      <alignment horizontal="center" vertical="center" wrapText="1"/>
    </xf>
    <xf numFmtId="3" fontId="5" fillId="0" borderId="0" xfId="5" applyNumberFormat="1" applyFont="1"/>
    <xf numFmtId="3" fontId="43" fillId="0" borderId="0" xfId="5" applyNumberFormat="1" applyFont="1"/>
    <xf numFmtId="3" fontId="85" fillId="0" borderId="0" xfId="5" applyNumberFormat="1" applyFont="1"/>
    <xf numFmtId="3" fontId="31" fillId="0" borderId="0" xfId="5" applyNumberFormat="1" applyFont="1"/>
    <xf numFmtId="3" fontId="43" fillId="0" borderId="0" xfId="5" applyNumberFormat="1" applyFont="1" applyAlignment="1">
      <alignment horizontal="center" vertical="center" wrapText="1"/>
    </xf>
    <xf numFmtId="3" fontId="30" fillId="0" borderId="0" xfId="5" applyNumberFormat="1" applyFont="1" applyAlignment="1">
      <alignment horizontal="center" vertical="center" wrapText="1"/>
    </xf>
    <xf numFmtId="3" fontId="89" fillId="0" borderId="0" xfId="5" applyNumberFormat="1" applyFont="1"/>
    <xf numFmtId="3" fontId="90" fillId="0" borderId="0" xfId="5" applyNumberFormat="1" applyFont="1"/>
    <xf numFmtId="3" fontId="91" fillId="0" borderId="0" xfId="5" applyNumberFormat="1" applyFont="1"/>
    <xf numFmtId="3" fontId="5" fillId="0" borderId="0" xfId="5" applyNumberFormat="1" applyFont="1" applyAlignment="1">
      <alignment vertical="center"/>
    </xf>
    <xf numFmtId="3" fontId="86" fillId="0" borderId="0" xfId="5" applyNumberFormat="1" applyFont="1" applyAlignment="1">
      <alignment vertical="center"/>
    </xf>
    <xf numFmtId="3" fontId="85" fillId="0" borderId="0" xfId="5" applyNumberFormat="1" applyFont="1" applyAlignment="1">
      <alignment vertical="center"/>
    </xf>
    <xf numFmtId="3" fontId="92" fillId="0" borderId="0" xfId="5" applyNumberFormat="1" applyFont="1"/>
    <xf numFmtId="3" fontId="94" fillId="0" borderId="0" xfId="5" applyNumberFormat="1" applyFont="1"/>
    <xf numFmtId="3" fontId="95" fillId="0" borderId="0" xfId="5" applyNumberFormat="1" applyFont="1"/>
    <xf numFmtId="3" fontId="96" fillId="0" borderId="0" xfId="5" applyNumberFormat="1" applyFont="1"/>
    <xf numFmtId="3" fontId="18" fillId="0" borderId="0" xfId="5" applyNumberFormat="1" applyFont="1"/>
    <xf numFmtId="3" fontId="7" fillId="0" borderId="0" xfId="5" applyNumberFormat="1" applyFont="1"/>
    <xf numFmtId="3" fontId="8" fillId="0" borderId="0" xfId="5" applyNumberFormat="1" applyFont="1"/>
    <xf numFmtId="0" fontId="16" fillId="0" borderId="2" xfId="0" applyFont="1" applyBorder="1" applyAlignment="1">
      <alignment vertical="center"/>
    </xf>
    <xf numFmtId="0" fontId="15" fillId="0" borderId="2" xfId="0" applyFont="1" applyBorder="1" applyAlignment="1">
      <alignment horizontal="right" wrapText="1"/>
    </xf>
    <xf numFmtId="0" fontId="15" fillId="0" borderId="2" xfId="0" applyFont="1" applyBorder="1" applyAlignment="1">
      <alignment wrapText="1"/>
    </xf>
    <xf numFmtId="166" fontId="52" fillId="10" borderId="2" xfId="3" applyNumberFormat="1" applyFont="1" applyFill="1" applyBorder="1" applyAlignment="1">
      <alignment horizontal="right" vertical="center"/>
    </xf>
    <xf numFmtId="166" fontId="52" fillId="9" borderId="2" xfId="3" applyNumberFormat="1" applyFont="1" applyFill="1" applyBorder="1" applyAlignment="1">
      <alignment horizontal="right" vertical="center"/>
    </xf>
    <xf numFmtId="166" fontId="52" fillId="0" borderId="2" xfId="3" applyNumberFormat="1" applyFont="1" applyBorder="1" applyAlignment="1">
      <alignment horizontal="right" vertical="center"/>
    </xf>
    <xf numFmtId="166" fontId="54" fillId="0" borderId="2" xfId="3" applyNumberFormat="1" applyFont="1" applyBorder="1" applyAlignment="1">
      <alignment vertical="center"/>
    </xf>
    <xf numFmtId="166" fontId="52" fillId="0" borderId="2" xfId="3" applyNumberFormat="1" applyFont="1" applyBorder="1" applyAlignment="1">
      <alignment vertical="center"/>
    </xf>
    <xf numFmtId="166" fontId="52" fillId="9" borderId="2" xfId="3" applyNumberFormat="1" applyFont="1" applyFill="1" applyBorder="1" applyAlignment="1">
      <alignment vertical="center"/>
    </xf>
    <xf numFmtId="166" fontId="52" fillId="2" borderId="2" xfId="3" applyNumberFormat="1" applyFont="1" applyFill="1" applyBorder="1" applyAlignment="1">
      <alignment vertical="center"/>
    </xf>
    <xf numFmtId="166" fontId="54" fillId="2" borderId="2" xfId="3" applyNumberFormat="1" applyFont="1" applyFill="1" applyBorder="1" applyAlignment="1">
      <alignment vertical="center"/>
    </xf>
    <xf numFmtId="166" fontId="52" fillId="10" borderId="2" xfId="3" applyNumberFormat="1" applyFont="1" applyFill="1" applyBorder="1" applyAlignment="1">
      <alignment vertical="center"/>
    </xf>
    <xf numFmtId="166" fontId="58" fillId="12" borderId="2" xfId="3" applyNumberFormat="1" applyFont="1" applyFill="1" applyBorder="1" applyAlignment="1">
      <alignment vertical="center"/>
    </xf>
    <xf numFmtId="165" fontId="7" fillId="4" borderId="0" xfId="3" applyNumberFormat="1" applyFont="1" applyFill="1" applyAlignment="1">
      <alignment horizontal="right" vertical="center" wrapText="1"/>
    </xf>
    <xf numFmtId="4" fontId="92" fillId="0" borderId="0" xfId="5" applyNumberFormat="1" applyFont="1"/>
    <xf numFmtId="4" fontId="5" fillId="0" borderId="0" xfId="5" applyNumberFormat="1" applyFont="1"/>
    <xf numFmtId="4" fontId="43" fillId="0" borderId="0" xfId="5" applyNumberFormat="1" applyFont="1"/>
    <xf numFmtId="165" fontId="8" fillId="0" borderId="2" xfId="5" applyNumberFormat="1" applyFont="1" applyBorder="1" applyAlignment="1">
      <alignment horizontal="right" wrapText="1"/>
    </xf>
    <xf numFmtId="165" fontId="24" fillId="10" borderId="2" xfId="3" applyNumberFormat="1" applyFont="1" applyFill="1" applyBorder="1" applyAlignment="1">
      <alignment horizontal="right" vertical="center"/>
    </xf>
    <xf numFmtId="165" fontId="24" fillId="9" borderId="2" xfId="3" applyNumberFormat="1" applyFont="1" applyFill="1" applyBorder="1" applyAlignment="1">
      <alignment horizontal="right" vertical="center"/>
    </xf>
    <xf numFmtId="165" fontId="25" fillId="0" borderId="2" xfId="3" applyNumberFormat="1" applyFont="1" applyBorder="1" applyAlignment="1">
      <alignment horizontal="right" vertical="center"/>
    </xf>
    <xf numFmtId="0" fontId="24" fillId="9" borderId="2" xfId="3" applyFont="1" applyFill="1" applyBorder="1"/>
    <xf numFmtId="49" fontId="37" fillId="0" borderId="2" xfId="3" applyNumberFormat="1" applyFont="1" applyBorder="1" applyAlignment="1">
      <alignment horizontal="right" vertical="center"/>
    </xf>
    <xf numFmtId="165" fontId="7" fillId="7" borderId="4" xfId="3" applyNumberFormat="1" applyFont="1" applyFill="1" applyBorder="1" applyAlignment="1">
      <alignment horizontal="right" vertical="center"/>
    </xf>
    <xf numFmtId="2" fontId="15" fillId="9" borderId="9" xfId="4" applyNumberFormat="1" applyFont="1" applyFill="1" applyBorder="1" applyAlignment="1">
      <alignment horizontal="right" vertical="center" wrapText="1"/>
    </xf>
    <xf numFmtId="0" fontId="16" fillId="0" borderId="4" xfId="3" applyFont="1" applyBorder="1" applyAlignment="1">
      <alignment vertical="center"/>
    </xf>
    <xf numFmtId="0" fontId="16" fillId="0" borderId="4" xfId="3" applyFont="1" applyBorder="1" applyAlignment="1">
      <alignment horizontal="center" vertical="center"/>
    </xf>
    <xf numFmtId="49" fontId="16" fillId="0" borderId="4" xfId="3" applyNumberFormat="1" applyFont="1" applyBorder="1" applyAlignment="1">
      <alignment horizontal="left" vertical="center" wrapText="1"/>
    </xf>
    <xf numFmtId="165" fontId="16" fillId="0" borderId="4" xfId="3" applyNumberFormat="1" applyFont="1" applyBorder="1" applyAlignment="1">
      <alignment horizontal="right" vertical="center"/>
    </xf>
    <xf numFmtId="0" fontId="54" fillId="0" borderId="10" xfId="3" applyFont="1" applyBorder="1" applyAlignment="1">
      <alignment vertical="center"/>
    </xf>
    <xf numFmtId="3" fontId="30" fillId="0" borderId="0" xfId="3" applyNumberFormat="1" applyFont="1" applyAlignment="1">
      <alignment horizontal="right" vertical="center"/>
    </xf>
    <xf numFmtId="165" fontId="30" fillId="0" borderId="0" xfId="3" applyNumberFormat="1" applyFont="1" applyAlignment="1">
      <alignment horizontal="right" vertical="center"/>
    </xf>
    <xf numFmtId="2" fontId="15" fillId="0" borderId="9" xfId="3" applyNumberFormat="1" applyFont="1" applyBorder="1" applyAlignment="1">
      <alignment horizontal="right" vertical="center"/>
    </xf>
    <xf numFmtId="2" fontId="16" fillId="10" borderId="18" xfId="8" applyNumberFormat="1" applyFont="1" applyFill="1" applyBorder="1" applyAlignment="1">
      <alignment horizontal="right" vertical="center"/>
    </xf>
    <xf numFmtId="165" fontId="7" fillId="0" borderId="2" xfId="0" applyNumberFormat="1" applyFont="1" applyBorder="1" applyAlignment="1">
      <alignment horizontal="right" vertical="center" wrapText="1"/>
    </xf>
    <xf numFmtId="2" fontId="7" fillId="0" borderId="2" xfId="5" applyNumberFormat="1" applyFont="1" applyBorder="1" applyAlignment="1">
      <alignment horizontal="right" vertical="center" wrapText="1"/>
    </xf>
    <xf numFmtId="2" fontId="17" fillId="8" borderId="2" xfId="5" applyNumberFormat="1" applyFont="1" applyFill="1" applyBorder="1" applyAlignment="1">
      <alignment horizontal="right" vertical="center" wrapText="1"/>
    </xf>
    <xf numFmtId="3" fontId="18" fillId="5" borderId="2" xfId="5" applyNumberFormat="1" applyFont="1" applyFill="1" applyBorder="1" applyAlignment="1">
      <alignment horizontal="left" vertical="center"/>
    </xf>
    <xf numFmtId="49" fontId="18" fillId="8" borderId="2" xfId="5" applyNumberFormat="1" applyFont="1" applyFill="1" applyBorder="1" applyAlignment="1">
      <alignment horizontal="left" vertical="center" wrapText="1"/>
    </xf>
    <xf numFmtId="3" fontId="93" fillId="14" borderId="2" xfId="5" applyNumberFormat="1" applyFont="1" applyFill="1" applyBorder="1" applyAlignment="1">
      <alignment horizontal="left" vertical="center"/>
    </xf>
    <xf numFmtId="3" fontId="93" fillId="14" borderId="2" xfId="5" applyNumberFormat="1" applyFont="1" applyFill="1" applyBorder="1" applyAlignment="1">
      <alignment horizontal="left" vertical="center" wrapText="1"/>
    </xf>
    <xf numFmtId="3" fontId="35" fillId="0" borderId="0" xfId="5" applyNumberFormat="1" applyFont="1"/>
    <xf numFmtId="3" fontId="28" fillId="0" borderId="0" xfId="5" applyNumberFormat="1" applyFont="1"/>
    <xf numFmtId="4" fontId="28" fillId="0" borderId="0" xfId="5" applyNumberFormat="1" applyFont="1"/>
    <xf numFmtId="0" fontId="54" fillId="0" borderId="2" xfId="3" applyFont="1" applyBorder="1" applyAlignment="1">
      <alignment horizontal="right"/>
    </xf>
    <xf numFmtId="0" fontId="52" fillId="0" borderId="2" xfId="3" applyFont="1" applyBorder="1" applyAlignment="1">
      <alignment horizontal="right"/>
    </xf>
    <xf numFmtId="166" fontId="31" fillId="0" borderId="0" xfId="5" applyNumberFormat="1" applyFont="1"/>
    <xf numFmtId="166" fontId="30" fillId="0" borderId="0" xfId="5" applyNumberFormat="1" applyFont="1"/>
    <xf numFmtId="166" fontId="43" fillId="0" borderId="0" xfId="5" applyNumberFormat="1" applyFont="1"/>
    <xf numFmtId="166" fontId="7" fillId="0" borderId="0" xfId="5" applyNumberFormat="1" applyFont="1" applyAlignment="1">
      <alignment horizontal="right" vertical="center" wrapText="1"/>
    </xf>
    <xf numFmtId="166" fontId="85" fillId="0" borderId="0" xfId="5" applyNumberFormat="1" applyFont="1" applyAlignment="1">
      <alignment horizontal="left"/>
    </xf>
    <xf numFmtId="166" fontId="86" fillId="0" borderId="0" xfId="5" applyNumberFormat="1" applyFont="1"/>
    <xf numFmtId="166" fontId="88" fillId="0" borderId="0" xfId="5" applyNumberFormat="1" applyFont="1"/>
    <xf numFmtId="166" fontId="5" fillId="0" borderId="0" xfId="5" applyNumberFormat="1" applyFont="1" applyAlignment="1">
      <alignment horizontal="center" vertical="center" wrapText="1"/>
    </xf>
    <xf numFmtId="166" fontId="5" fillId="0" borderId="0" xfId="5" applyNumberFormat="1" applyFont="1"/>
    <xf numFmtId="166" fontId="85" fillId="0" borderId="0" xfId="5" applyNumberFormat="1" applyFont="1"/>
    <xf numFmtId="166" fontId="43" fillId="0" borderId="0" xfId="5" applyNumberFormat="1" applyFont="1" applyAlignment="1">
      <alignment horizontal="center" vertical="center" wrapText="1"/>
    </xf>
    <xf numFmtId="166" fontId="30" fillId="0" borderId="0" xfId="5" applyNumberFormat="1" applyFont="1" applyAlignment="1">
      <alignment horizontal="center" vertical="center" wrapText="1"/>
    </xf>
    <xf numFmtId="166" fontId="89" fillId="0" borderId="0" xfId="5" applyNumberFormat="1" applyFont="1"/>
    <xf numFmtId="166" fontId="90" fillId="0" borderId="0" xfId="5" applyNumberFormat="1" applyFont="1"/>
    <xf numFmtId="166" fontId="91" fillId="0" borderId="0" xfId="5" applyNumberFormat="1" applyFont="1"/>
    <xf numFmtId="166" fontId="5" fillId="0" borderId="0" xfId="5" applyNumberFormat="1" applyFont="1" applyAlignment="1">
      <alignment vertical="center"/>
    </xf>
    <xf numFmtId="166" fontId="43" fillId="0" borderId="0" xfId="5" applyNumberFormat="1" applyFont="1" applyAlignment="1">
      <alignment vertical="center"/>
    </xf>
    <xf numFmtId="166" fontId="86" fillId="0" borderId="0" xfId="5" applyNumberFormat="1" applyFont="1" applyAlignment="1">
      <alignment vertical="center"/>
    </xf>
    <xf numFmtId="166" fontId="85" fillId="0" borderId="0" xfId="5" applyNumberFormat="1" applyFont="1" applyAlignment="1">
      <alignment vertical="center"/>
    </xf>
    <xf numFmtId="166" fontId="7" fillId="0" borderId="0" xfId="5" applyNumberFormat="1" applyFont="1"/>
    <xf numFmtId="166" fontId="8" fillId="0" borderId="0" xfId="5" applyNumberFormat="1" applyFont="1"/>
    <xf numFmtId="166" fontId="92" fillId="0" borderId="0" xfId="5" applyNumberFormat="1" applyFont="1"/>
    <xf numFmtId="166" fontId="35" fillId="0" borderId="0" xfId="5" applyNumberFormat="1" applyFont="1"/>
    <xf numFmtId="166" fontId="94" fillId="0" borderId="0" xfId="5" applyNumberFormat="1" applyFont="1"/>
    <xf numFmtId="166" fontId="95" fillId="0" borderId="0" xfId="5" applyNumberFormat="1" applyFont="1"/>
    <xf numFmtId="166" fontId="96" fillId="0" borderId="0" xfId="5" applyNumberFormat="1" applyFont="1"/>
    <xf numFmtId="166" fontId="28" fillId="0" borderId="0" xfId="5" applyNumberFormat="1" applyFont="1"/>
    <xf numFmtId="166" fontId="18" fillId="0" borderId="0" xfId="5" applyNumberFormat="1" applyFont="1"/>
    <xf numFmtId="166" fontId="7" fillId="0" borderId="0" xfId="5" applyNumberFormat="1" applyFont="1" applyAlignment="1">
      <alignment vertical="center"/>
    </xf>
    <xf numFmtId="2" fontId="15" fillId="0" borderId="2" xfId="5" applyNumberFormat="1" applyFont="1" applyBorder="1" applyAlignment="1">
      <alignment horizontal="right" vertical="center" wrapText="1"/>
    </xf>
    <xf numFmtId="4" fontId="30" fillId="0" borderId="0" xfId="5" applyNumberFormat="1" applyFont="1"/>
    <xf numFmtId="4" fontId="8" fillId="0" borderId="0" xfId="3" applyNumberFormat="1" applyFont="1" applyAlignment="1">
      <alignment vertical="center"/>
    </xf>
    <xf numFmtId="165" fontId="16" fillId="0" borderId="2" xfId="0" applyNumberFormat="1" applyFont="1" applyBorder="1" applyAlignment="1">
      <alignment horizontal="right"/>
    </xf>
    <xf numFmtId="0" fontId="124" fillId="0" borderId="2" xfId="3" applyFont="1" applyBorder="1" applyAlignment="1">
      <alignment horizontal="center" vertical="center" wrapText="1"/>
    </xf>
    <xf numFmtId="166" fontId="8" fillId="6" borderId="2" xfId="5" applyNumberFormat="1" applyFont="1" applyFill="1" applyBorder="1" applyAlignment="1">
      <alignment vertical="center"/>
    </xf>
    <xf numFmtId="166" fontId="8" fillId="7" borderId="2" xfId="5" applyNumberFormat="1" applyFont="1" applyFill="1" applyBorder="1" applyAlignment="1">
      <alignment vertical="center"/>
    </xf>
    <xf numFmtId="165" fontId="7" fillId="0" borderId="2" xfId="5" applyNumberFormat="1" applyFont="1" applyBorder="1" applyAlignment="1">
      <alignment horizontal="right" wrapText="1"/>
    </xf>
    <xf numFmtId="0" fontId="68" fillId="0" borderId="2" xfId="0" applyFont="1" applyBorder="1" applyAlignment="1">
      <alignment vertical="center" wrapText="1"/>
    </xf>
    <xf numFmtId="0" fontId="67" fillId="0" borderId="2" xfId="0" applyFont="1" applyBorder="1" applyAlignment="1">
      <alignment horizontal="left" vertical="center" wrapText="1"/>
    </xf>
    <xf numFmtId="3" fontId="73" fillId="4" borderId="2" xfId="3" applyNumberFormat="1" applyFont="1" applyFill="1" applyBorder="1" applyAlignment="1">
      <alignment horizontal="center" vertical="center" wrapText="1"/>
    </xf>
    <xf numFmtId="4" fontId="7" fillId="0" borderId="0" xfId="3" applyNumberFormat="1" applyFont="1" applyAlignment="1">
      <alignment horizontal="right" vertical="center"/>
    </xf>
    <xf numFmtId="165" fontId="7" fillId="0" borderId="2" xfId="5" applyNumberFormat="1" applyFont="1" applyBorder="1" applyAlignment="1">
      <alignment horizontal="center" vertical="center" wrapText="1"/>
    </xf>
    <xf numFmtId="0" fontId="113" fillId="0" borderId="11" xfId="3" applyFont="1" applyBorder="1"/>
    <xf numFmtId="2" fontId="132" fillId="6" borderId="9" xfId="4" applyNumberFormat="1" applyFont="1" applyFill="1" applyBorder="1" applyAlignment="1">
      <alignment horizontal="right" vertical="center" wrapText="1"/>
    </xf>
    <xf numFmtId="165" fontId="132" fillId="6" borderId="2" xfId="3" applyNumberFormat="1" applyFont="1" applyFill="1" applyBorder="1" applyAlignment="1">
      <alignment horizontal="right" vertical="center"/>
    </xf>
    <xf numFmtId="2" fontId="24" fillId="6" borderId="9" xfId="4" applyNumberFormat="1" applyFont="1" applyFill="1" applyBorder="1" applyAlignment="1">
      <alignment horizontal="right" vertical="center" wrapText="1"/>
    </xf>
    <xf numFmtId="2" fontId="24" fillId="7" borderId="9" xfId="4" applyNumberFormat="1" applyFont="1" applyFill="1" applyBorder="1" applyAlignment="1">
      <alignment horizontal="right" vertical="center" wrapText="1"/>
    </xf>
    <xf numFmtId="2" fontId="24" fillId="0" borderId="9" xfId="4" applyNumberFormat="1" applyFont="1" applyFill="1" applyBorder="1" applyAlignment="1">
      <alignment horizontal="right" vertical="center" wrapText="1"/>
    </xf>
    <xf numFmtId="0" fontId="67" fillId="0" borderId="13" xfId="0" quotePrefix="1" applyFont="1" applyBorder="1" applyAlignment="1">
      <alignment horizontal="left" vertical="center" wrapText="1"/>
    </xf>
    <xf numFmtId="0" fontId="68" fillId="0" borderId="14" xfId="0" applyFont="1" applyBorder="1" applyAlignment="1">
      <alignment vertical="center" wrapText="1"/>
    </xf>
    <xf numFmtId="0" fontId="59" fillId="0" borderId="0" xfId="0" applyFont="1" applyAlignment="1">
      <alignment horizontal="center" vertical="center" wrapText="1"/>
    </xf>
    <xf numFmtId="0" fontId="61" fillId="0" borderId="0" xfId="0" applyFont="1" applyAlignment="1">
      <alignment horizontal="left" vertical="center" wrapText="1"/>
    </xf>
    <xf numFmtId="0" fontId="63" fillId="0" borderId="12" xfId="0" applyFont="1" applyBorder="1" applyAlignment="1">
      <alignment horizontal="left" wrapText="1"/>
    </xf>
    <xf numFmtId="0" fontId="64" fillId="0" borderId="13" xfId="0" quotePrefix="1" applyFont="1" applyBorder="1" applyAlignment="1">
      <alignment horizontal="center" wrapText="1"/>
    </xf>
    <xf numFmtId="0" fontId="64" fillId="0" borderId="14" xfId="0" quotePrefix="1" applyFont="1" applyBorder="1" applyAlignment="1">
      <alignment horizontal="center" wrapText="1"/>
    </xf>
    <xf numFmtId="0" fontId="64" fillId="0" borderId="10" xfId="0" quotePrefix="1" applyFont="1" applyBorder="1" applyAlignment="1">
      <alignment horizontal="center" wrapText="1"/>
    </xf>
    <xf numFmtId="0" fontId="66" fillId="0" borderId="2" xfId="0" quotePrefix="1" applyFont="1" applyBorder="1" applyAlignment="1">
      <alignment horizontal="center" wrapText="1"/>
    </xf>
    <xf numFmtId="0" fontId="66" fillId="0" borderId="13" xfId="0" quotePrefix="1" applyFont="1" applyBorder="1" applyAlignment="1">
      <alignment horizontal="center" wrapText="1"/>
    </xf>
    <xf numFmtId="0" fontId="67" fillId="9" borderId="13" xfId="0" applyFont="1" applyFill="1" applyBorder="1" applyAlignment="1">
      <alignment horizontal="left" vertical="center" wrapText="1"/>
    </xf>
    <xf numFmtId="0" fontId="68" fillId="9" borderId="14" xfId="0" applyFont="1" applyFill="1" applyBorder="1" applyAlignment="1">
      <alignment vertical="center" wrapText="1"/>
    </xf>
    <xf numFmtId="0" fontId="68" fillId="9" borderId="14" xfId="0" applyFont="1" applyFill="1" applyBorder="1" applyAlignment="1">
      <alignment vertical="center"/>
    </xf>
    <xf numFmtId="0" fontId="67" fillId="0" borderId="13" xfId="0" applyFont="1" applyBorder="1" applyAlignment="1">
      <alignment horizontal="left" vertical="center" wrapText="1"/>
    </xf>
    <xf numFmtId="0" fontId="68" fillId="0" borderId="14" xfId="0" applyFont="1" applyBorder="1" applyAlignment="1">
      <alignment vertical="center"/>
    </xf>
    <xf numFmtId="0" fontId="67" fillId="0" borderId="13" xfId="0" quotePrefix="1" applyFont="1" applyBorder="1" applyAlignment="1">
      <alignment horizontal="left" vertical="center"/>
    </xf>
    <xf numFmtId="0" fontId="64" fillId="9" borderId="13" xfId="0" applyFont="1" applyFill="1" applyBorder="1" applyAlignment="1">
      <alignment horizontal="left" vertical="center" wrapText="1"/>
    </xf>
    <xf numFmtId="0" fontId="64" fillId="9" borderId="14" xfId="0" applyFont="1" applyFill="1" applyBorder="1" applyAlignment="1">
      <alignment horizontal="left" vertical="center" wrapText="1"/>
    </xf>
    <xf numFmtId="0" fontId="64" fillId="9" borderId="10" xfId="0" applyFont="1" applyFill="1" applyBorder="1" applyAlignment="1">
      <alignment horizontal="left" vertical="center" wrapText="1"/>
    </xf>
    <xf numFmtId="0" fontId="67" fillId="9" borderId="13" xfId="0" quotePrefix="1" applyFont="1" applyFill="1" applyBorder="1" applyAlignment="1">
      <alignment horizontal="left" vertical="center" wrapText="1"/>
    </xf>
    <xf numFmtId="0" fontId="67" fillId="9" borderId="14" xfId="0" quotePrefix="1" applyFont="1" applyFill="1" applyBorder="1" applyAlignment="1">
      <alignment horizontal="left" vertical="center" wrapText="1"/>
    </xf>
    <xf numFmtId="0" fontId="67" fillId="9" borderId="10" xfId="0" quotePrefix="1" applyFont="1" applyFill="1" applyBorder="1" applyAlignment="1">
      <alignment horizontal="left" vertical="center" wrapText="1"/>
    </xf>
    <xf numFmtId="0" fontId="67" fillId="0" borderId="14" xfId="0" applyFont="1" applyBorder="1" applyAlignment="1">
      <alignment horizontal="left" vertical="center" wrapText="1"/>
    </xf>
    <xf numFmtId="0" fontId="64" fillId="9" borderId="2" xfId="0" applyFont="1" applyFill="1" applyBorder="1" applyAlignment="1">
      <alignment horizontal="left" vertical="center" wrapText="1"/>
    </xf>
    <xf numFmtId="0" fontId="58" fillId="12" borderId="13" xfId="3" applyFont="1" applyFill="1" applyBorder="1" applyAlignment="1">
      <alignment horizontal="center" vertical="center"/>
    </xf>
    <xf numFmtId="0" fontId="58" fillId="12" borderId="14" xfId="3" applyFont="1" applyFill="1" applyBorder="1" applyAlignment="1">
      <alignment horizontal="center" vertical="center"/>
    </xf>
    <xf numFmtId="0" fontId="58" fillId="12" borderId="10" xfId="3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2" borderId="0" xfId="2" applyFont="1" applyFill="1" applyAlignment="1">
      <alignment horizontal="center" vertical="center" wrapText="1"/>
    </xf>
    <xf numFmtId="0" fontId="49" fillId="0" borderId="0" xfId="3" applyFont="1" applyAlignment="1">
      <alignment horizontal="center" wrapText="1"/>
    </xf>
    <xf numFmtId="3" fontId="50" fillId="3" borderId="11" xfId="3" applyNumberFormat="1" applyFont="1" applyFill="1" applyBorder="1" applyAlignment="1">
      <alignment horizontal="center" vertical="center" wrapText="1"/>
    </xf>
    <xf numFmtId="3" fontId="50" fillId="3" borderId="12" xfId="3" applyNumberFormat="1" applyFont="1" applyFill="1" applyBorder="1" applyAlignment="1">
      <alignment horizontal="center" vertical="center" wrapText="1"/>
    </xf>
    <xf numFmtId="3" fontId="73" fillId="3" borderId="0" xfId="3" applyNumberFormat="1" applyFont="1" applyFill="1" applyAlignment="1">
      <alignment horizontal="center" vertical="center" wrapText="1"/>
    </xf>
    <xf numFmtId="0" fontId="79" fillId="0" borderId="13" xfId="3" applyFont="1" applyBorder="1" applyAlignment="1">
      <alignment horizontal="center"/>
    </xf>
    <xf numFmtId="0" fontId="79" fillId="0" borderId="14" xfId="3" applyFont="1" applyBorder="1" applyAlignment="1">
      <alignment horizontal="center"/>
    </xf>
    <xf numFmtId="0" fontId="79" fillId="0" borderId="10" xfId="3" applyFont="1" applyBorder="1" applyAlignment="1">
      <alignment horizontal="center"/>
    </xf>
    <xf numFmtId="0" fontId="58" fillId="12" borderId="13" xfId="3" applyFont="1" applyFill="1" applyBorder="1" applyAlignment="1">
      <alignment horizontal="center"/>
    </xf>
    <xf numFmtId="0" fontId="58" fillId="12" borderId="14" xfId="3" applyFont="1" applyFill="1" applyBorder="1" applyAlignment="1">
      <alignment horizontal="center"/>
    </xf>
    <xf numFmtId="0" fontId="58" fillId="12" borderId="10" xfId="3" applyFont="1" applyFill="1" applyBorder="1" applyAlignment="1">
      <alignment horizontal="center"/>
    </xf>
    <xf numFmtId="0" fontId="72" fillId="2" borderId="0" xfId="2" applyFont="1" applyFill="1" applyAlignment="1">
      <alignment horizontal="center" vertical="center" wrapText="1"/>
    </xf>
    <xf numFmtId="0" fontId="73" fillId="2" borderId="0" xfId="2" applyFont="1" applyFill="1" applyAlignment="1">
      <alignment horizontal="center" vertical="center"/>
    </xf>
    <xf numFmtId="0" fontId="73" fillId="2" borderId="0" xfId="2" applyFont="1" applyFill="1" applyAlignment="1">
      <alignment horizontal="center" vertical="center" wrapText="1"/>
    </xf>
    <xf numFmtId="0" fontId="74" fillId="0" borderId="0" xfId="3" applyFont="1" applyAlignment="1">
      <alignment horizontal="center" wrapText="1"/>
    </xf>
    <xf numFmtId="3" fontId="73" fillId="3" borderId="11" xfId="3" applyNumberFormat="1" applyFont="1" applyFill="1" applyBorder="1" applyAlignment="1">
      <alignment horizontal="center" vertical="center" wrapText="1"/>
    </xf>
    <xf numFmtId="3" fontId="73" fillId="3" borderId="12" xfId="3" applyNumberFormat="1" applyFont="1" applyFill="1" applyBorder="1" applyAlignment="1">
      <alignment horizontal="center" vertical="center" wrapText="1"/>
    </xf>
    <xf numFmtId="3" fontId="23" fillId="4" borderId="13" xfId="3" applyNumberFormat="1" applyFont="1" applyFill="1" applyBorder="1" applyAlignment="1">
      <alignment horizontal="center" vertical="center" wrapText="1"/>
    </xf>
    <xf numFmtId="3" fontId="23" fillId="4" borderId="14" xfId="3" applyNumberFormat="1" applyFont="1" applyFill="1" applyBorder="1" applyAlignment="1">
      <alignment horizontal="center" vertical="center" wrapText="1"/>
    </xf>
    <xf numFmtId="3" fontId="23" fillId="4" borderId="10" xfId="3" applyNumberFormat="1" applyFont="1" applyFill="1" applyBorder="1" applyAlignment="1">
      <alignment horizontal="center" vertical="center" wrapText="1"/>
    </xf>
    <xf numFmtId="3" fontId="5" fillId="4" borderId="1" xfId="3" applyNumberFormat="1" applyFont="1" applyFill="1" applyBorder="1" applyAlignment="1">
      <alignment horizontal="center" vertical="center" wrapText="1"/>
    </xf>
    <xf numFmtId="3" fontId="5" fillId="4" borderId="0" xfId="3" applyNumberFormat="1" applyFont="1" applyFill="1" applyAlignment="1">
      <alignment horizontal="center" vertical="center" wrapText="1"/>
    </xf>
    <xf numFmtId="0" fontId="11" fillId="3" borderId="2" xfId="3" applyFont="1" applyFill="1" applyBorder="1" applyAlignment="1">
      <alignment horizontal="center" vertical="center" wrapText="1"/>
    </xf>
    <xf numFmtId="3" fontId="5" fillId="4" borderId="5" xfId="3" applyNumberFormat="1" applyFont="1" applyFill="1" applyBorder="1" applyAlignment="1">
      <alignment horizontal="right" vertical="center"/>
    </xf>
    <xf numFmtId="3" fontId="5" fillId="4" borderId="6" xfId="3" applyNumberFormat="1" applyFont="1" applyFill="1" applyBorder="1" applyAlignment="1">
      <alignment horizontal="right" vertical="center"/>
    </xf>
    <xf numFmtId="3" fontId="5" fillId="4" borderId="7" xfId="3" applyNumberFormat="1" applyFont="1" applyFill="1" applyBorder="1" applyAlignment="1">
      <alignment horizontal="right"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3" fontId="5" fillId="3" borderId="1" xfId="3" applyNumberFormat="1" applyFont="1" applyFill="1" applyBorder="1" applyAlignment="1">
      <alignment horizontal="center" vertical="center" wrapText="1"/>
    </xf>
    <xf numFmtId="3" fontId="5" fillId="3" borderId="0" xfId="3" applyNumberFormat="1" applyFont="1" applyFill="1" applyAlignment="1">
      <alignment horizontal="center" vertical="center" wrapText="1"/>
    </xf>
    <xf numFmtId="3" fontId="30" fillId="4" borderId="5" xfId="3" applyNumberFormat="1" applyFont="1" applyFill="1" applyBorder="1" applyAlignment="1">
      <alignment horizontal="right" vertical="center"/>
    </xf>
    <xf numFmtId="3" fontId="30" fillId="4" borderId="6" xfId="3" applyNumberFormat="1" applyFont="1" applyFill="1" applyBorder="1" applyAlignment="1">
      <alignment horizontal="right" vertical="center"/>
    </xf>
    <xf numFmtId="3" fontId="30" fillId="4" borderId="7" xfId="3" applyNumberFormat="1" applyFont="1" applyFill="1" applyBorder="1" applyAlignment="1">
      <alignment horizontal="right" vertical="center"/>
    </xf>
    <xf numFmtId="0" fontId="98" fillId="2" borderId="0" xfId="2" applyFont="1" applyFill="1" applyAlignment="1">
      <alignment wrapText="1"/>
    </xf>
    <xf numFmtId="0" fontId="98" fillId="2" borderId="0" xfId="2" applyFont="1" applyFill="1" applyAlignment="1">
      <alignment vertical="center" wrapText="1"/>
    </xf>
    <xf numFmtId="0" fontId="5" fillId="2" borderId="0" xfId="6" applyFont="1" applyFill="1" applyAlignment="1">
      <alignment horizontal="center" vertical="center" wrapText="1"/>
    </xf>
    <xf numFmtId="0" fontId="115" fillId="2" borderId="17" xfId="6" applyFont="1" applyFill="1" applyBorder="1" applyAlignment="1">
      <alignment horizontal="center" vertical="center" wrapText="1"/>
    </xf>
  </cellXfs>
  <cellStyles count="9">
    <cellStyle name="Normalno" xfId="0" builtinId="0"/>
    <cellStyle name="Normalno 2" xfId="2" xr:uid="{00000000-0005-0000-0000-000002000000}"/>
    <cellStyle name="Normalno 3" xfId="5" xr:uid="{00000000-0005-0000-0000-000003000000}"/>
    <cellStyle name="Normalno 3 3" xfId="6" xr:uid="{00000000-0005-0000-0000-000004000000}"/>
    <cellStyle name="Normalno 4" xfId="8" xr:uid="{00000000-0005-0000-0000-000005000000}"/>
    <cellStyle name="Obično 4" xfId="3" xr:uid="{00000000-0005-0000-0000-000006000000}"/>
    <cellStyle name="Obično_List9" xfId="7" xr:uid="{00000000-0005-0000-0000-000007000000}"/>
    <cellStyle name="Valuta" xfId="1" builtinId="4"/>
    <cellStyle name="Valuta 3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9"/>
  <sheetViews>
    <sheetView tabSelected="1" workbookViewId="0">
      <selection activeCell="K12" sqref="K12"/>
    </sheetView>
  </sheetViews>
  <sheetFormatPr defaultRowHeight="15" x14ac:dyDescent="0.25"/>
  <cols>
    <col min="6" max="6" width="25.28515625" customWidth="1"/>
    <col min="7" max="7" width="24.28515625" bestFit="1" customWidth="1"/>
    <col min="8" max="8" width="14.7109375" bestFit="1" customWidth="1"/>
    <col min="9" max="9" width="13.42578125" customWidth="1"/>
    <col min="10" max="10" width="23.85546875" customWidth="1"/>
    <col min="11" max="12" width="8" bestFit="1" customWidth="1"/>
    <col min="262" max="262" width="25.28515625" customWidth="1"/>
    <col min="263" max="263" width="17" bestFit="1" customWidth="1"/>
    <col min="264" max="264" width="20.28515625" customWidth="1"/>
    <col min="265" max="265" width="22" customWidth="1"/>
    <col min="518" max="518" width="25.28515625" customWidth="1"/>
    <col min="519" max="519" width="17" bestFit="1" customWidth="1"/>
    <col min="520" max="520" width="20.28515625" customWidth="1"/>
    <col min="521" max="521" width="22" customWidth="1"/>
    <col min="774" max="774" width="25.28515625" customWidth="1"/>
    <col min="775" max="775" width="17" bestFit="1" customWidth="1"/>
    <col min="776" max="776" width="20.28515625" customWidth="1"/>
    <col min="777" max="777" width="22" customWidth="1"/>
    <col min="1030" max="1030" width="25.28515625" customWidth="1"/>
    <col min="1031" max="1031" width="17" bestFit="1" customWidth="1"/>
    <col min="1032" max="1032" width="20.28515625" customWidth="1"/>
    <col min="1033" max="1033" width="22" customWidth="1"/>
    <col min="1286" max="1286" width="25.28515625" customWidth="1"/>
    <col min="1287" max="1287" width="17" bestFit="1" customWidth="1"/>
    <col min="1288" max="1288" width="20.28515625" customWidth="1"/>
    <col min="1289" max="1289" width="22" customWidth="1"/>
    <col min="1542" max="1542" width="25.28515625" customWidth="1"/>
    <col min="1543" max="1543" width="17" bestFit="1" customWidth="1"/>
    <col min="1544" max="1544" width="20.28515625" customWidth="1"/>
    <col min="1545" max="1545" width="22" customWidth="1"/>
    <col min="1798" max="1798" width="25.28515625" customWidth="1"/>
    <col min="1799" max="1799" width="17" bestFit="1" customWidth="1"/>
    <col min="1800" max="1800" width="20.28515625" customWidth="1"/>
    <col min="1801" max="1801" width="22" customWidth="1"/>
    <col min="2054" max="2054" width="25.28515625" customWidth="1"/>
    <col min="2055" max="2055" width="17" bestFit="1" customWidth="1"/>
    <col min="2056" max="2056" width="20.28515625" customWidth="1"/>
    <col min="2057" max="2057" width="22" customWidth="1"/>
    <col min="2310" max="2310" width="25.28515625" customWidth="1"/>
    <col min="2311" max="2311" width="17" bestFit="1" customWidth="1"/>
    <col min="2312" max="2312" width="20.28515625" customWidth="1"/>
    <col min="2313" max="2313" width="22" customWidth="1"/>
    <col min="2566" max="2566" width="25.28515625" customWidth="1"/>
    <col min="2567" max="2567" width="17" bestFit="1" customWidth="1"/>
    <col min="2568" max="2568" width="20.28515625" customWidth="1"/>
    <col min="2569" max="2569" width="22" customWidth="1"/>
    <col min="2822" max="2822" width="25.28515625" customWidth="1"/>
    <col min="2823" max="2823" width="17" bestFit="1" customWidth="1"/>
    <col min="2824" max="2824" width="20.28515625" customWidth="1"/>
    <col min="2825" max="2825" width="22" customWidth="1"/>
    <col min="3078" max="3078" width="25.28515625" customWidth="1"/>
    <col min="3079" max="3079" width="17" bestFit="1" customWidth="1"/>
    <col min="3080" max="3080" width="20.28515625" customWidth="1"/>
    <col min="3081" max="3081" width="22" customWidth="1"/>
    <col min="3334" max="3334" width="25.28515625" customWidth="1"/>
    <col min="3335" max="3335" width="17" bestFit="1" customWidth="1"/>
    <col min="3336" max="3336" width="20.28515625" customWidth="1"/>
    <col min="3337" max="3337" width="22" customWidth="1"/>
    <col min="3590" max="3590" width="25.28515625" customWidth="1"/>
    <col min="3591" max="3591" width="17" bestFit="1" customWidth="1"/>
    <col min="3592" max="3592" width="20.28515625" customWidth="1"/>
    <col min="3593" max="3593" width="22" customWidth="1"/>
    <col min="3846" max="3846" width="25.28515625" customWidth="1"/>
    <col min="3847" max="3847" width="17" bestFit="1" customWidth="1"/>
    <col min="3848" max="3848" width="20.28515625" customWidth="1"/>
    <col min="3849" max="3849" width="22" customWidth="1"/>
    <col min="4102" max="4102" width="25.28515625" customWidth="1"/>
    <col min="4103" max="4103" width="17" bestFit="1" customWidth="1"/>
    <col min="4104" max="4104" width="20.28515625" customWidth="1"/>
    <col min="4105" max="4105" width="22" customWidth="1"/>
    <col min="4358" max="4358" width="25.28515625" customWidth="1"/>
    <col min="4359" max="4359" width="17" bestFit="1" customWidth="1"/>
    <col min="4360" max="4360" width="20.28515625" customWidth="1"/>
    <col min="4361" max="4361" width="22" customWidth="1"/>
    <col min="4614" max="4614" width="25.28515625" customWidth="1"/>
    <col min="4615" max="4615" width="17" bestFit="1" customWidth="1"/>
    <col min="4616" max="4616" width="20.28515625" customWidth="1"/>
    <col min="4617" max="4617" width="22" customWidth="1"/>
    <col min="4870" max="4870" width="25.28515625" customWidth="1"/>
    <col min="4871" max="4871" width="17" bestFit="1" customWidth="1"/>
    <col min="4872" max="4872" width="20.28515625" customWidth="1"/>
    <col min="4873" max="4873" width="22" customWidth="1"/>
    <col min="5126" max="5126" width="25.28515625" customWidth="1"/>
    <col min="5127" max="5127" width="17" bestFit="1" customWidth="1"/>
    <col min="5128" max="5128" width="20.28515625" customWidth="1"/>
    <col min="5129" max="5129" width="22" customWidth="1"/>
    <col min="5382" max="5382" width="25.28515625" customWidth="1"/>
    <col min="5383" max="5383" width="17" bestFit="1" customWidth="1"/>
    <col min="5384" max="5384" width="20.28515625" customWidth="1"/>
    <col min="5385" max="5385" width="22" customWidth="1"/>
    <col min="5638" max="5638" width="25.28515625" customWidth="1"/>
    <col min="5639" max="5639" width="17" bestFit="1" customWidth="1"/>
    <col min="5640" max="5640" width="20.28515625" customWidth="1"/>
    <col min="5641" max="5641" width="22" customWidth="1"/>
    <col min="5894" max="5894" width="25.28515625" customWidth="1"/>
    <col min="5895" max="5895" width="17" bestFit="1" customWidth="1"/>
    <col min="5896" max="5896" width="20.28515625" customWidth="1"/>
    <col min="5897" max="5897" width="22" customWidth="1"/>
    <col min="6150" max="6150" width="25.28515625" customWidth="1"/>
    <col min="6151" max="6151" width="17" bestFit="1" customWidth="1"/>
    <col min="6152" max="6152" width="20.28515625" customWidth="1"/>
    <col min="6153" max="6153" width="22" customWidth="1"/>
    <col min="6406" max="6406" width="25.28515625" customWidth="1"/>
    <col min="6407" max="6407" width="17" bestFit="1" customWidth="1"/>
    <col min="6408" max="6408" width="20.28515625" customWidth="1"/>
    <col min="6409" max="6409" width="22" customWidth="1"/>
    <col min="6662" max="6662" width="25.28515625" customWidth="1"/>
    <col min="6663" max="6663" width="17" bestFit="1" customWidth="1"/>
    <col min="6664" max="6664" width="20.28515625" customWidth="1"/>
    <col min="6665" max="6665" width="22" customWidth="1"/>
    <col min="6918" max="6918" width="25.28515625" customWidth="1"/>
    <col min="6919" max="6919" width="17" bestFit="1" customWidth="1"/>
    <col min="6920" max="6920" width="20.28515625" customWidth="1"/>
    <col min="6921" max="6921" width="22" customWidth="1"/>
    <col min="7174" max="7174" width="25.28515625" customWidth="1"/>
    <col min="7175" max="7175" width="17" bestFit="1" customWidth="1"/>
    <col min="7176" max="7176" width="20.28515625" customWidth="1"/>
    <col min="7177" max="7177" width="22" customWidth="1"/>
    <col min="7430" max="7430" width="25.28515625" customWidth="1"/>
    <col min="7431" max="7431" width="17" bestFit="1" customWidth="1"/>
    <col min="7432" max="7432" width="20.28515625" customWidth="1"/>
    <col min="7433" max="7433" width="22" customWidth="1"/>
    <col min="7686" max="7686" width="25.28515625" customWidth="1"/>
    <col min="7687" max="7687" width="17" bestFit="1" customWidth="1"/>
    <col min="7688" max="7688" width="20.28515625" customWidth="1"/>
    <col min="7689" max="7689" width="22" customWidth="1"/>
    <col min="7942" max="7942" width="25.28515625" customWidth="1"/>
    <col min="7943" max="7943" width="17" bestFit="1" customWidth="1"/>
    <col min="7944" max="7944" width="20.28515625" customWidth="1"/>
    <col min="7945" max="7945" width="22" customWidth="1"/>
    <col min="8198" max="8198" width="25.28515625" customWidth="1"/>
    <col min="8199" max="8199" width="17" bestFit="1" customWidth="1"/>
    <col min="8200" max="8200" width="20.28515625" customWidth="1"/>
    <col min="8201" max="8201" width="22" customWidth="1"/>
    <col min="8454" max="8454" width="25.28515625" customWidth="1"/>
    <col min="8455" max="8455" width="17" bestFit="1" customWidth="1"/>
    <col min="8456" max="8456" width="20.28515625" customWidth="1"/>
    <col min="8457" max="8457" width="22" customWidth="1"/>
    <col min="8710" max="8710" width="25.28515625" customWidth="1"/>
    <col min="8711" max="8711" width="17" bestFit="1" customWidth="1"/>
    <col min="8712" max="8712" width="20.28515625" customWidth="1"/>
    <col min="8713" max="8713" width="22" customWidth="1"/>
    <col min="8966" max="8966" width="25.28515625" customWidth="1"/>
    <col min="8967" max="8967" width="17" bestFit="1" customWidth="1"/>
    <col min="8968" max="8968" width="20.28515625" customWidth="1"/>
    <col min="8969" max="8969" width="22" customWidth="1"/>
    <col min="9222" max="9222" width="25.28515625" customWidth="1"/>
    <col min="9223" max="9223" width="17" bestFit="1" customWidth="1"/>
    <col min="9224" max="9224" width="20.28515625" customWidth="1"/>
    <col min="9225" max="9225" width="22" customWidth="1"/>
    <col min="9478" max="9478" width="25.28515625" customWidth="1"/>
    <col min="9479" max="9479" width="17" bestFit="1" customWidth="1"/>
    <col min="9480" max="9480" width="20.28515625" customWidth="1"/>
    <col min="9481" max="9481" width="22" customWidth="1"/>
    <col min="9734" max="9734" width="25.28515625" customWidth="1"/>
    <col min="9735" max="9735" width="17" bestFit="1" customWidth="1"/>
    <col min="9736" max="9736" width="20.28515625" customWidth="1"/>
    <col min="9737" max="9737" width="22" customWidth="1"/>
    <col min="9990" max="9990" width="25.28515625" customWidth="1"/>
    <col min="9991" max="9991" width="17" bestFit="1" customWidth="1"/>
    <col min="9992" max="9992" width="20.28515625" customWidth="1"/>
    <col min="9993" max="9993" width="22" customWidth="1"/>
    <col min="10246" max="10246" width="25.28515625" customWidth="1"/>
    <col min="10247" max="10247" width="17" bestFit="1" customWidth="1"/>
    <col min="10248" max="10248" width="20.28515625" customWidth="1"/>
    <col min="10249" max="10249" width="22" customWidth="1"/>
    <col min="10502" max="10502" width="25.28515625" customWidth="1"/>
    <col min="10503" max="10503" width="17" bestFit="1" customWidth="1"/>
    <col min="10504" max="10504" width="20.28515625" customWidth="1"/>
    <col min="10505" max="10505" width="22" customWidth="1"/>
    <col min="10758" max="10758" width="25.28515625" customWidth="1"/>
    <col min="10759" max="10759" width="17" bestFit="1" customWidth="1"/>
    <col min="10760" max="10760" width="20.28515625" customWidth="1"/>
    <col min="10761" max="10761" width="22" customWidth="1"/>
    <col min="11014" max="11014" width="25.28515625" customWidth="1"/>
    <col min="11015" max="11015" width="17" bestFit="1" customWidth="1"/>
    <col min="11016" max="11016" width="20.28515625" customWidth="1"/>
    <col min="11017" max="11017" width="22" customWidth="1"/>
    <col min="11270" max="11270" width="25.28515625" customWidth="1"/>
    <col min="11271" max="11271" width="17" bestFit="1" customWidth="1"/>
    <col min="11272" max="11272" width="20.28515625" customWidth="1"/>
    <col min="11273" max="11273" width="22" customWidth="1"/>
    <col min="11526" max="11526" width="25.28515625" customWidth="1"/>
    <col min="11527" max="11527" width="17" bestFit="1" customWidth="1"/>
    <col min="11528" max="11528" width="20.28515625" customWidth="1"/>
    <col min="11529" max="11529" width="22" customWidth="1"/>
    <col min="11782" max="11782" width="25.28515625" customWidth="1"/>
    <col min="11783" max="11783" width="17" bestFit="1" customWidth="1"/>
    <col min="11784" max="11784" width="20.28515625" customWidth="1"/>
    <col min="11785" max="11785" width="22" customWidth="1"/>
    <col min="12038" max="12038" width="25.28515625" customWidth="1"/>
    <col min="12039" max="12039" width="17" bestFit="1" customWidth="1"/>
    <col min="12040" max="12040" width="20.28515625" customWidth="1"/>
    <col min="12041" max="12041" width="22" customWidth="1"/>
    <col min="12294" max="12294" width="25.28515625" customWidth="1"/>
    <col min="12295" max="12295" width="17" bestFit="1" customWidth="1"/>
    <col min="12296" max="12296" width="20.28515625" customWidth="1"/>
    <col min="12297" max="12297" width="22" customWidth="1"/>
    <col min="12550" max="12550" width="25.28515625" customWidth="1"/>
    <col min="12551" max="12551" width="17" bestFit="1" customWidth="1"/>
    <col min="12552" max="12552" width="20.28515625" customWidth="1"/>
    <col min="12553" max="12553" width="22" customWidth="1"/>
    <col min="12806" max="12806" width="25.28515625" customWidth="1"/>
    <col min="12807" max="12807" width="17" bestFit="1" customWidth="1"/>
    <col min="12808" max="12808" width="20.28515625" customWidth="1"/>
    <col min="12809" max="12809" width="22" customWidth="1"/>
    <col min="13062" max="13062" width="25.28515625" customWidth="1"/>
    <col min="13063" max="13063" width="17" bestFit="1" customWidth="1"/>
    <col min="13064" max="13064" width="20.28515625" customWidth="1"/>
    <col min="13065" max="13065" width="22" customWidth="1"/>
    <col min="13318" max="13318" width="25.28515625" customWidth="1"/>
    <col min="13319" max="13319" width="17" bestFit="1" customWidth="1"/>
    <col min="13320" max="13320" width="20.28515625" customWidth="1"/>
    <col min="13321" max="13321" width="22" customWidth="1"/>
    <col min="13574" max="13574" width="25.28515625" customWidth="1"/>
    <col min="13575" max="13575" width="17" bestFit="1" customWidth="1"/>
    <col min="13576" max="13576" width="20.28515625" customWidth="1"/>
    <col min="13577" max="13577" width="22" customWidth="1"/>
    <col min="13830" max="13830" width="25.28515625" customWidth="1"/>
    <col min="13831" max="13831" width="17" bestFit="1" customWidth="1"/>
    <col min="13832" max="13832" width="20.28515625" customWidth="1"/>
    <col min="13833" max="13833" width="22" customWidth="1"/>
    <col min="14086" max="14086" width="25.28515625" customWidth="1"/>
    <col min="14087" max="14087" width="17" bestFit="1" customWidth="1"/>
    <col min="14088" max="14088" width="20.28515625" customWidth="1"/>
    <col min="14089" max="14089" width="22" customWidth="1"/>
    <col min="14342" max="14342" width="25.28515625" customWidth="1"/>
    <col min="14343" max="14343" width="17" bestFit="1" customWidth="1"/>
    <col min="14344" max="14344" width="20.28515625" customWidth="1"/>
    <col min="14345" max="14345" width="22" customWidth="1"/>
    <col min="14598" max="14598" width="25.28515625" customWidth="1"/>
    <col min="14599" max="14599" width="17" bestFit="1" customWidth="1"/>
    <col min="14600" max="14600" width="20.28515625" customWidth="1"/>
    <col min="14601" max="14601" width="22" customWidth="1"/>
    <col min="14854" max="14854" width="25.28515625" customWidth="1"/>
    <col min="14855" max="14855" width="17" bestFit="1" customWidth="1"/>
    <col min="14856" max="14856" width="20.28515625" customWidth="1"/>
    <col min="14857" max="14857" width="22" customWidth="1"/>
    <col min="15110" max="15110" width="25.28515625" customWidth="1"/>
    <col min="15111" max="15111" width="17" bestFit="1" customWidth="1"/>
    <col min="15112" max="15112" width="20.28515625" customWidth="1"/>
    <col min="15113" max="15113" width="22" customWidth="1"/>
    <col min="15366" max="15366" width="25.28515625" customWidth="1"/>
    <col min="15367" max="15367" width="17" bestFit="1" customWidth="1"/>
    <col min="15368" max="15368" width="20.28515625" customWidth="1"/>
    <col min="15369" max="15369" width="22" customWidth="1"/>
    <col min="15622" max="15622" width="25.28515625" customWidth="1"/>
    <col min="15623" max="15623" width="17" bestFit="1" customWidth="1"/>
    <col min="15624" max="15624" width="20.28515625" customWidth="1"/>
    <col min="15625" max="15625" width="22" customWidth="1"/>
    <col min="15878" max="15878" width="25.28515625" customWidth="1"/>
    <col min="15879" max="15879" width="17" bestFit="1" customWidth="1"/>
    <col min="15880" max="15880" width="20.28515625" customWidth="1"/>
    <col min="15881" max="15881" width="22" customWidth="1"/>
    <col min="16134" max="16134" width="25.28515625" customWidth="1"/>
    <col min="16135" max="16135" width="17" bestFit="1" customWidth="1"/>
    <col min="16136" max="16136" width="20.28515625" customWidth="1"/>
    <col min="16137" max="16137" width="22" customWidth="1"/>
  </cols>
  <sheetData>
    <row r="1" spans="2:12" ht="15.75" customHeight="1" x14ac:dyDescent="0.25">
      <c r="B1" s="599" t="s">
        <v>614</v>
      </c>
      <c r="C1" s="599"/>
      <c r="D1" s="599"/>
      <c r="E1" s="599"/>
      <c r="F1" s="599"/>
      <c r="G1" s="599"/>
      <c r="H1" s="599"/>
      <c r="I1" s="599"/>
      <c r="J1" s="599"/>
      <c r="K1" s="599"/>
      <c r="L1" s="599"/>
    </row>
    <row r="2" spans="2:12" ht="18" x14ac:dyDescent="0.25"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</row>
    <row r="3" spans="2:12" ht="15.75" x14ac:dyDescent="0.25">
      <c r="B3" s="879" t="s">
        <v>0</v>
      </c>
      <c r="C3" s="879"/>
      <c r="D3" s="879"/>
      <c r="E3" s="879"/>
      <c r="F3" s="879"/>
      <c r="G3" s="879"/>
      <c r="H3" s="879"/>
      <c r="I3" s="879"/>
      <c r="J3" s="879"/>
      <c r="K3" s="879"/>
    </row>
    <row r="4" spans="2:12" ht="18" x14ac:dyDescent="0.25">
      <c r="B4" s="880"/>
      <c r="C4" s="880"/>
      <c r="D4" s="880"/>
      <c r="E4" s="325"/>
      <c r="F4" s="325"/>
      <c r="G4" s="325"/>
      <c r="H4" s="325"/>
      <c r="I4" s="325"/>
      <c r="J4" s="325"/>
      <c r="K4" s="326"/>
      <c r="L4" s="326"/>
    </row>
    <row r="5" spans="2:12" ht="15.75" x14ac:dyDescent="0.25">
      <c r="B5" s="879" t="s">
        <v>263</v>
      </c>
      <c r="C5" s="879"/>
      <c r="D5" s="879"/>
      <c r="E5" s="879"/>
      <c r="F5" s="879"/>
      <c r="G5" s="879"/>
      <c r="H5" s="879"/>
      <c r="I5" s="879"/>
      <c r="J5" s="879"/>
      <c r="K5" s="879"/>
    </row>
    <row r="6" spans="2:12" ht="15.75" x14ac:dyDescent="0.25">
      <c r="B6" s="324"/>
      <c r="C6" s="327"/>
      <c r="D6" s="327"/>
      <c r="E6" s="327"/>
      <c r="F6" s="327"/>
      <c r="G6" s="327"/>
      <c r="H6" s="327"/>
      <c r="I6" s="327"/>
      <c r="J6" s="327"/>
      <c r="K6" s="327"/>
      <c r="L6" s="327"/>
    </row>
    <row r="7" spans="2:12" x14ac:dyDescent="0.25">
      <c r="B7" s="881" t="s">
        <v>541</v>
      </c>
      <c r="C7" s="881"/>
      <c r="D7" s="881"/>
      <c r="E7" s="881"/>
      <c r="F7" s="881"/>
      <c r="G7" s="607"/>
      <c r="H7" s="328"/>
      <c r="I7" s="328"/>
      <c r="J7" s="328"/>
      <c r="K7" s="329" t="s">
        <v>264</v>
      </c>
      <c r="L7" s="329" t="s">
        <v>264</v>
      </c>
    </row>
    <row r="8" spans="2:12" ht="26.25" x14ac:dyDescent="0.25">
      <c r="B8" s="882" t="s">
        <v>265</v>
      </c>
      <c r="C8" s="883"/>
      <c r="D8" s="883"/>
      <c r="E8" s="883"/>
      <c r="F8" s="884"/>
      <c r="G8" s="608" t="s">
        <v>629</v>
      </c>
      <c r="H8" s="732" t="s">
        <v>608</v>
      </c>
      <c r="I8" s="330" t="s">
        <v>609</v>
      </c>
      <c r="J8" s="330" t="s">
        <v>615</v>
      </c>
      <c r="K8" s="331" t="s">
        <v>547</v>
      </c>
      <c r="L8" s="331" t="s">
        <v>547</v>
      </c>
    </row>
    <row r="9" spans="2:12" s="332" customFormat="1" ht="11.25" x14ac:dyDescent="0.2">
      <c r="B9" s="885">
        <v>1</v>
      </c>
      <c r="C9" s="885"/>
      <c r="D9" s="885"/>
      <c r="E9" s="885"/>
      <c r="F9" s="886"/>
      <c r="G9" s="333">
        <v>2</v>
      </c>
      <c r="H9" s="333">
        <v>3</v>
      </c>
      <c r="I9" s="333">
        <v>4</v>
      </c>
      <c r="J9" s="333">
        <v>5</v>
      </c>
      <c r="K9" s="333" t="s">
        <v>546</v>
      </c>
      <c r="L9" s="333" t="s">
        <v>594</v>
      </c>
    </row>
    <row r="10" spans="2:12" x14ac:dyDescent="0.25">
      <c r="B10" s="887" t="s">
        <v>266</v>
      </c>
      <c r="C10" s="888"/>
      <c r="D10" s="888"/>
      <c r="E10" s="888"/>
      <c r="F10" s="889"/>
      <c r="G10" s="335">
        <f>G11+G12</f>
        <v>2228337.5499999998</v>
      </c>
      <c r="H10" s="335">
        <f>H11+H12</f>
        <v>4702255.6300000008</v>
      </c>
      <c r="I10" s="335">
        <f>I11+I12</f>
        <v>4988957.92</v>
      </c>
      <c r="J10" s="335">
        <f>J11+J12</f>
        <v>2608890.31</v>
      </c>
      <c r="K10" s="335">
        <f>J10/H10*100</f>
        <v>55.481677630528978</v>
      </c>
      <c r="L10" s="335">
        <f>J10/I10*100</f>
        <v>52.293291541733431</v>
      </c>
    </row>
    <row r="11" spans="2:12" x14ac:dyDescent="0.25">
      <c r="B11" s="890" t="s">
        <v>267</v>
      </c>
      <c r="C11" s="878"/>
      <c r="D11" s="878"/>
      <c r="E11" s="878"/>
      <c r="F11" s="891"/>
      <c r="G11" s="336">
        <f>'Prihodi po ekonomskoj klas'!D10</f>
        <v>2228337.5499999998</v>
      </c>
      <c r="H11" s="336">
        <f>'Prihodi po ekonomskoj klas'!E10</f>
        <v>4702255.6300000008</v>
      </c>
      <c r="I11" s="336">
        <f>'Prihodi po ekonomskoj klas'!F10</f>
        <v>4988157.92</v>
      </c>
      <c r="J11" s="336">
        <f>'Prihodi po ekonomskoj klas'!G10</f>
        <v>2608090.31</v>
      </c>
      <c r="K11" s="336">
        <f t="shared" ref="K11:K15" si="0">J11/H11*100</f>
        <v>55.464664518887496</v>
      </c>
      <c r="L11" s="336">
        <f>J11/I11*100</f>
        <v>52.285640347168481</v>
      </c>
    </row>
    <row r="12" spans="2:12" x14ac:dyDescent="0.25">
      <c r="B12" s="892" t="s">
        <v>268</v>
      </c>
      <c r="C12" s="891"/>
      <c r="D12" s="891"/>
      <c r="E12" s="891"/>
      <c r="F12" s="891"/>
      <c r="G12" s="336">
        <f>'Prihodi po ekonomskoj klas'!D70</f>
        <v>0</v>
      </c>
      <c r="H12" s="336">
        <f>'Prihodi po ekonomskoj klas'!E70</f>
        <v>0</v>
      </c>
      <c r="I12" s="336">
        <f>'Prihodi po ekonomskoj klas'!F70</f>
        <v>800</v>
      </c>
      <c r="J12" s="336">
        <f>'Prihodi po ekonomskoj klas'!G70</f>
        <v>800</v>
      </c>
      <c r="K12" s="336" t="e">
        <f t="shared" ref="K12:L16" si="1">I12/H12*100</f>
        <v>#DIV/0!</v>
      </c>
      <c r="L12" s="336">
        <f t="shared" si="1"/>
        <v>100</v>
      </c>
    </row>
    <row r="13" spans="2:12" x14ac:dyDescent="0.25">
      <c r="B13" s="337" t="s">
        <v>269</v>
      </c>
      <c r="C13" s="334"/>
      <c r="D13" s="334"/>
      <c r="E13" s="334"/>
      <c r="F13" s="334"/>
      <c r="G13" s="335">
        <f>G14+G15</f>
        <v>2650450.4500000002</v>
      </c>
      <c r="H13" s="335">
        <f>H14+H15</f>
        <v>4725934.5699999994</v>
      </c>
      <c r="I13" s="335">
        <f>I14+I15</f>
        <v>4614031.7699999996</v>
      </c>
      <c r="J13" s="335">
        <f>J14+J15</f>
        <v>2566545.0700000003</v>
      </c>
      <c r="K13" s="335">
        <f t="shared" si="0"/>
        <v>54.30767252454789</v>
      </c>
      <c r="L13" s="335">
        <f t="shared" si="1"/>
        <v>55.624781057803609</v>
      </c>
    </row>
    <row r="14" spans="2:12" x14ac:dyDescent="0.25">
      <c r="B14" s="877" t="s">
        <v>270</v>
      </c>
      <c r="C14" s="878"/>
      <c r="D14" s="878"/>
      <c r="E14" s="878"/>
      <c r="F14" s="878"/>
      <c r="G14" s="336">
        <f>'RASHODI-ek.kl.'!D57</f>
        <v>2567146.56</v>
      </c>
      <c r="H14" s="336">
        <f>'RASHODI-ek.kl.'!E57</f>
        <v>4299508.6899999995</v>
      </c>
      <c r="I14" s="336">
        <f>'RASHODI-ek.kl.'!F57</f>
        <v>4244329.5999999996</v>
      </c>
      <c r="J14" s="336">
        <f>'RASHODI-ek.kl.'!G57</f>
        <v>2396625.08</v>
      </c>
      <c r="K14" s="336">
        <f t="shared" si="0"/>
        <v>55.741835935212414</v>
      </c>
      <c r="L14" s="336">
        <f t="shared" si="1"/>
        <v>56.466516643759249</v>
      </c>
    </row>
    <row r="15" spans="2:12" x14ac:dyDescent="0.25">
      <c r="B15" s="892" t="s">
        <v>271</v>
      </c>
      <c r="C15" s="891"/>
      <c r="D15" s="891"/>
      <c r="E15" s="891"/>
      <c r="F15" s="891"/>
      <c r="G15" s="336">
        <f>'RASHODI-ek.kl.'!D212</f>
        <v>83303.89</v>
      </c>
      <c r="H15" s="336">
        <f>'RASHODI-ek.kl.'!E212</f>
        <v>426425.88</v>
      </c>
      <c r="I15" s="336">
        <f>'RASHODI-ek.kl.'!F212</f>
        <v>369702.17000000004</v>
      </c>
      <c r="J15" s="336">
        <f>'RASHODI-ek.kl.'!G212</f>
        <v>169919.99</v>
      </c>
      <c r="K15" s="336">
        <f t="shared" si="0"/>
        <v>39.847485335552335</v>
      </c>
      <c r="L15" s="336">
        <f t="shared" si="1"/>
        <v>45.961317998214604</v>
      </c>
    </row>
    <row r="16" spans="2:12" x14ac:dyDescent="0.25">
      <c r="B16" s="896" t="s">
        <v>272</v>
      </c>
      <c r="C16" s="888"/>
      <c r="D16" s="888"/>
      <c r="E16" s="888"/>
      <c r="F16" s="888"/>
      <c r="G16" s="335">
        <f>G10-G13</f>
        <v>-422112.90000000037</v>
      </c>
      <c r="H16" s="335">
        <f>H10-H13</f>
        <v>-23678.939999998547</v>
      </c>
      <c r="I16" s="335">
        <f>I10-I13</f>
        <v>374926.15000000037</v>
      </c>
      <c r="J16" s="335">
        <f>J10-J13</f>
        <v>42345.239999999758</v>
      </c>
      <c r="K16" s="335">
        <f>-J16/H16*100</f>
        <v>178.83080914940598</v>
      </c>
      <c r="L16" s="335">
        <f t="shared" si="1"/>
        <v>11.294288221827076</v>
      </c>
    </row>
    <row r="17" spans="1:34" ht="18" x14ac:dyDescent="0.25">
      <c r="B17" s="325"/>
      <c r="C17" s="338"/>
      <c r="D17" s="338"/>
      <c r="E17" s="338"/>
      <c r="F17" s="338"/>
      <c r="G17" s="338"/>
      <c r="H17" s="338"/>
      <c r="I17" s="338"/>
      <c r="J17" s="339"/>
      <c r="K17" s="339"/>
      <c r="L17" s="339"/>
    </row>
    <row r="18" spans="1:34" ht="18" x14ac:dyDescent="0.25">
      <c r="B18" s="881" t="s">
        <v>542</v>
      </c>
      <c r="C18" s="881"/>
      <c r="D18" s="881"/>
      <c r="E18" s="881"/>
      <c r="F18" s="881"/>
      <c r="G18" s="695"/>
      <c r="H18" s="338"/>
      <c r="I18" s="338"/>
      <c r="J18" s="339"/>
      <c r="K18" s="339"/>
      <c r="L18" s="339"/>
    </row>
    <row r="19" spans="1:34" ht="26.25" x14ac:dyDescent="0.25">
      <c r="B19" s="882" t="s">
        <v>265</v>
      </c>
      <c r="C19" s="883"/>
      <c r="D19" s="883"/>
      <c r="E19" s="883"/>
      <c r="F19" s="884"/>
      <c r="G19" s="608" t="s">
        <v>629</v>
      </c>
      <c r="H19" s="732" t="s">
        <v>608</v>
      </c>
      <c r="I19" s="330" t="s">
        <v>609</v>
      </c>
      <c r="J19" s="330" t="s">
        <v>615</v>
      </c>
      <c r="K19" s="331" t="s">
        <v>547</v>
      </c>
      <c r="L19" s="331" t="s">
        <v>547</v>
      </c>
    </row>
    <row r="20" spans="1:34" s="332" customFormat="1" x14ac:dyDescent="0.25">
      <c r="B20" s="885">
        <v>1</v>
      </c>
      <c r="C20" s="885"/>
      <c r="D20" s="885"/>
      <c r="E20" s="885"/>
      <c r="F20" s="886"/>
      <c r="G20" s="333">
        <v>2</v>
      </c>
      <c r="H20" s="333">
        <v>3</v>
      </c>
      <c r="I20" s="333">
        <v>4</v>
      </c>
      <c r="J20" s="333">
        <v>5</v>
      </c>
      <c r="K20" s="333">
        <v>6</v>
      </c>
      <c r="L20" s="333">
        <v>7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</row>
    <row r="21" spans="1:34" ht="15.75" customHeight="1" x14ac:dyDescent="0.25">
      <c r="A21" s="332"/>
      <c r="B21" s="890" t="s">
        <v>273</v>
      </c>
      <c r="C21" s="899"/>
      <c r="D21" s="899"/>
      <c r="E21" s="899"/>
      <c r="F21" s="899"/>
      <c r="G21" s="867"/>
      <c r="H21" s="340"/>
      <c r="I21" s="340"/>
      <c r="J21" s="340"/>
      <c r="K21" s="340"/>
      <c r="L21" s="340"/>
    </row>
    <row r="22" spans="1:34" x14ac:dyDescent="0.25">
      <c r="A22" s="332"/>
      <c r="B22" s="890" t="s">
        <v>274</v>
      </c>
      <c r="C22" s="878"/>
      <c r="D22" s="878"/>
      <c r="E22" s="878"/>
      <c r="F22" s="878"/>
      <c r="G22" s="866"/>
      <c r="H22" s="340"/>
      <c r="I22" s="340"/>
      <c r="J22" s="340"/>
      <c r="K22" s="340"/>
      <c r="L22" s="340"/>
    </row>
    <row r="23" spans="1:34" s="341" customFormat="1" ht="15" customHeight="1" x14ac:dyDescent="0.25">
      <c r="A23" s="332"/>
      <c r="B23" s="900" t="s">
        <v>545</v>
      </c>
      <c r="C23" s="900"/>
      <c r="D23" s="900"/>
      <c r="E23" s="900"/>
      <c r="F23" s="900"/>
      <c r="G23" s="610"/>
      <c r="H23" s="335"/>
      <c r="I23" s="335"/>
      <c r="J23" s="335"/>
      <c r="K23" s="335"/>
      <c r="L23" s="335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</row>
    <row r="24" spans="1:34" s="341" customFormat="1" ht="15" customHeight="1" x14ac:dyDescent="0.25">
      <c r="A24" s="332"/>
      <c r="B24" s="342"/>
      <c r="C24" s="342"/>
      <c r="D24" s="342"/>
      <c r="E24" s="342"/>
      <c r="F24" s="342"/>
      <c r="G24" s="342"/>
      <c r="H24" s="343"/>
      <c r="I24" s="343"/>
      <c r="J24" s="343"/>
      <c r="K24" s="343"/>
      <c r="L24" s="343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</row>
    <row r="25" spans="1:34" s="341" customFormat="1" ht="15" customHeight="1" x14ac:dyDescent="0.25">
      <c r="A25" s="332"/>
      <c r="B25" s="881" t="s">
        <v>543</v>
      </c>
      <c r="C25" s="881"/>
      <c r="D25" s="881"/>
      <c r="E25" s="881"/>
      <c r="F25" s="881"/>
      <c r="G25" s="695"/>
      <c r="H25" s="338"/>
      <c r="I25" s="338"/>
      <c r="J25" s="339"/>
      <c r="K25" s="339"/>
      <c r="L25" s="339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</row>
    <row r="26" spans="1:34" s="341" customFormat="1" ht="25.5" customHeight="1" x14ac:dyDescent="0.25">
      <c r="A26" s="332"/>
      <c r="B26" s="882" t="s">
        <v>265</v>
      </c>
      <c r="C26" s="883"/>
      <c r="D26" s="883"/>
      <c r="E26" s="883"/>
      <c r="F26" s="884"/>
      <c r="G26" s="608" t="s">
        <v>629</v>
      </c>
      <c r="H26" s="330" t="s">
        <v>608</v>
      </c>
      <c r="I26" s="330" t="s">
        <v>609</v>
      </c>
      <c r="J26" s="330" t="s">
        <v>615</v>
      </c>
      <c r="K26" s="331" t="s">
        <v>547</v>
      </c>
      <c r="L26" s="331" t="s">
        <v>547</v>
      </c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</row>
    <row r="27" spans="1:34" s="341" customFormat="1" ht="15" customHeight="1" x14ac:dyDescent="0.25">
      <c r="A27" s="332"/>
      <c r="B27" s="893" t="s">
        <v>275</v>
      </c>
      <c r="C27" s="894"/>
      <c r="D27" s="894"/>
      <c r="E27" s="894"/>
      <c r="F27" s="895"/>
      <c r="G27" s="609"/>
      <c r="H27" s="335">
        <v>-830702.87</v>
      </c>
      <c r="I27" s="335">
        <v>-830702.87</v>
      </c>
      <c r="J27" s="335">
        <v>-830702.87</v>
      </c>
      <c r="K27" s="335"/>
      <c r="L27" s="335">
        <v>0</v>
      </c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</row>
    <row r="28" spans="1:34" ht="25.5" customHeight="1" x14ac:dyDescent="0.25">
      <c r="A28" s="332"/>
      <c r="B28" s="896" t="s">
        <v>544</v>
      </c>
      <c r="C28" s="897"/>
      <c r="D28" s="897"/>
      <c r="E28" s="897"/>
      <c r="F28" s="898"/>
      <c r="G28" s="335">
        <f>G16+G27</f>
        <v>-422112.90000000037</v>
      </c>
      <c r="H28" s="335">
        <f>H16+H27</f>
        <v>-854381.80999999854</v>
      </c>
      <c r="I28" s="335">
        <f>I27+I16</f>
        <v>-455776.71999999962</v>
      </c>
      <c r="J28" s="335">
        <f>J27+J16</f>
        <v>-788357.63000000024</v>
      </c>
      <c r="K28" s="335"/>
      <c r="L28" s="335">
        <v>0</v>
      </c>
    </row>
    <row r="29" spans="1:34" ht="15.75" x14ac:dyDescent="0.25">
      <c r="B29" s="344"/>
      <c r="C29" s="345"/>
      <c r="D29" s="345"/>
      <c r="E29" s="345"/>
      <c r="F29" s="345"/>
      <c r="G29" s="345"/>
      <c r="H29" s="346"/>
      <c r="I29" s="346"/>
      <c r="J29" s="346"/>
      <c r="K29" s="346"/>
      <c r="L29" s="346"/>
    </row>
  </sheetData>
  <mergeCells count="22">
    <mergeCell ref="B25:F25"/>
    <mergeCell ref="B27:F27"/>
    <mergeCell ref="B28:F28"/>
    <mergeCell ref="B26:F26"/>
    <mergeCell ref="B15:F15"/>
    <mergeCell ref="B16:F16"/>
    <mergeCell ref="B19:F19"/>
    <mergeCell ref="B20:F20"/>
    <mergeCell ref="B21:F21"/>
    <mergeCell ref="B22:F22"/>
    <mergeCell ref="B23:F23"/>
    <mergeCell ref="B18:F18"/>
    <mergeCell ref="B14:F14"/>
    <mergeCell ref="B3:K3"/>
    <mergeCell ref="B4:D4"/>
    <mergeCell ref="B5:K5"/>
    <mergeCell ref="B7:F7"/>
    <mergeCell ref="B8:F8"/>
    <mergeCell ref="B9:F9"/>
    <mergeCell ref="B10:F10"/>
    <mergeCell ref="B11:F11"/>
    <mergeCell ref="B12:F12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R77"/>
  <sheetViews>
    <sheetView workbookViewId="0"/>
  </sheetViews>
  <sheetFormatPr defaultRowHeight="15" x14ac:dyDescent="0.25"/>
  <cols>
    <col min="1" max="1" width="7" bestFit="1" customWidth="1"/>
    <col min="3" max="3" width="54.7109375" customWidth="1"/>
    <col min="4" max="4" width="24.85546875" bestFit="1" customWidth="1"/>
    <col min="5" max="7" width="20.28515625" bestFit="1" customWidth="1"/>
    <col min="8" max="8" width="9.140625" customWidth="1"/>
    <col min="9" max="23" width="0" hidden="1" customWidth="1"/>
    <col min="24" max="24" width="9.140625" customWidth="1"/>
    <col min="258" max="258" width="7" bestFit="1" customWidth="1"/>
    <col min="260" max="260" width="41.28515625" bestFit="1" customWidth="1"/>
    <col min="261" max="263" width="20.28515625" bestFit="1" customWidth="1"/>
    <col min="514" max="514" width="7" bestFit="1" customWidth="1"/>
    <col min="516" max="516" width="41.28515625" bestFit="1" customWidth="1"/>
    <col min="517" max="519" width="20.28515625" bestFit="1" customWidth="1"/>
    <col min="770" max="770" width="7" bestFit="1" customWidth="1"/>
    <col min="772" max="772" width="41.28515625" bestFit="1" customWidth="1"/>
    <col min="773" max="775" width="20.28515625" bestFit="1" customWidth="1"/>
    <col min="1026" max="1026" width="7" bestFit="1" customWidth="1"/>
    <col min="1028" max="1028" width="41.28515625" bestFit="1" customWidth="1"/>
    <col min="1029" max="1031" width="20.28515625" bestFit="1" customWidth="1"/>
    <col min="1282" max="1282" width="7" bestFit="1" customWidth="1"/>
    <col min="1284" max="1284" width="41.28515625" bestFit="1" customWidth="1"/>
    <col min="1285" max="1287" width="20.28515625" bestFit="1" customWidth="1"/>
    <col min="1538" max="1538" width="7" bestFit="1" customWidth="1"/>
    <col min="1540" max="1540" width="41.28515625" bestFit="1" customWidth="1"/>
    <col min="1541" max="1543" width="20.28515625" bestFit="1" customWidth="1"/>
    <col min="1794" max="1794" width="7" bestFit="1" customWidth="1"/>
    <col min="1796" max="1796" width="41.28515625" bestFit="1" customWidth="1"/>
    <col min="1797" max="1799" width="20.28515625" bestFit="1" customWidth="1"/>
    <col min="2050" max="2050" width="7" bestFit="1" customWidth="1"/>
    <col min="2052" max="2052" width="41.28515625" bestFit="1" customWidth="1"/>
    <col min="2053" max="2055" width="20.28515625" bestFit="1" customWidth="1"/>
    <col min="2306" max="2306" width="7" bestFit="1" customWidth="1"/>
    <col min="2308" max="2308" width="41.28515625" bestFit="1" customWidth="1"/>
    <col min="2309" max="2311" width="20.28515625" bestFit="1" customWidth="1"/>
    <col min="2562" max="2562" width="7" bestFit="1" customWidth="1"/>
    <col min="2564" max="2564" width="41.28515625" bestFit="1" customWidth="1"/>
    <col min="2565" max="2567" width="20.28515625" bestFit="1" customWidth="1"/>
    <col min="2818" max="2818" width="7" bestFit="1" customWidth="1"/>
    <col min="2820" max="2820" width="41.28515625" bestFit="1" customWidth="1"/>
    <col min="2821" max="2823" width="20.28515625" bestFit="1" customWidth="1"/>
    <col min="3074" max="3074" width="7" bestFit="1" customWidth="1"/>
    <col min="3076" max="3076" width="41.28515625" bestFit="1" customWidth="1"/>
    <col min="3077" max="3079" width="20.28515625" bestFit="1" customWidth="1"/>
    <col min="3330" max="3330" width="7" bestFit="1" customWidth="1"/>
    <col min="3332" max="3332" width="41.28515625" bestFit="1" customWidth="1"/>
    <col min="3333" max="3335" width="20.28515625" bestFit="1" customWidth="1"/>
    <col min="3586" max="3586" width="7" bestFit="1" customWidth="1"/>
    <col min="3588" max="3588" width="41.28515625" bestFit="1" customWidth="1"/>
    <col min="3589" max="3591" width="20.28515625" bestFit="1" customWidth="1"/>
    <col min="3842" max="3842" width="7" bestFit="1" customWidth="1"/>
    <col min="3844" max="3844" width="41.28515625" bestFit="1" customWidth="1"/>
    <col min="3845" max="3847" width="20.28515625" bestFit="1" customWidth="1"/>
    <col min="4098" max="4098" width="7" bestFit="1" customWidth="1"/>
    <col min="4100" max="4100" width="41.28515625" bestFit="1" customWidth="1"/>
    <col min="4101" max="4103" width="20.28515625" bestFit="1" customWidth="1"/>
    <col min="4354" max="4354" width="7" bestFit="1" customWidth="1"/>
    <col min="4356" max="4356" width="41.28515625" bestFit="1" customWidth="1"/>
    <col min="4357" max="4359" width="20.28515625" bestFit="1" customWidth="1"/>
    <col min="4610" max="4610" width="7" bestFit="1" customWidth="1"/>
    <col min="4612" max="4612" width="41.28515625" bestFit="1" customWidth="1"/>
    <col min="4613" max="4615" width="20.28515625" bestFit="1" customWidth="1"/>
    <col min="4866" max="4866" width="7" bestFit="1" customWidth="1"/>
    <col min="4868" max="4868" width="41.28515625" bestFit="1" customWidth="1"/>
    <col min="4869" max="4871" width="20.28515625" bestFit="1" customWidth="1"/>
    <col min="5122" max="5122" width="7" bestFit="1" customWidth="1"/>
    <col min="5124" max="5124" width="41.28515625" bestFit="1" customWidth="1"/>
    <col min="5125" max="5127" width="20.28515625" bestFit="1" customWidth="1"/>
    <col min="5378" max="5378" width="7" bestFit="1" customWidth="1"/>
    <col min="5380" max="5380" width="41.28515625" bestFit="1" customWidth="1"/>
    <col min="5381" max="5383" width="20.28515625" bestFit="1" customWidth="1"/>
    <col min="5634" max="5634" width="7" bestFit="1" customWidth="1"/>
    <col min="5636" max="5636" width="41.28515625" bestFit="1" customWidth="1"/>
    <col min="5637" max="5639" width="20.28515625" bestFit="1" customWidth="1"/>
    <col min="5890" max="5890" width="7" bestFit="1" customWidth="1"/>
    <col min="5892" max="5892" width="41.28515625" bestFit="1" customWidth="1"/>
    <col min="5893" max="5895" width="20.28515625" bestFit="1" customWidth="1"/>
    <col min="6146" max="6146" width="7" bestFit="1" customWidth="1"/>
    <col min="6148" max="6148" width="41.28515625" bestFit="1" customWidth="1"/>
    <col min="6149" max="6151" width="20.28515625" bestFit="1" customWidth="1"/>
    <col min="6402" max="6402" width="7" bestFit="1" customWidth="1"/>
    <col min="6404" max="6404" width="41.28515625" bestFit="1" customWidth="1"/>
    <col min="6405" max="6407" width="20.28515625" bestFit="1" customWidth="1"/>
    <col min="6658" max="6658" width="7" bestFit="1" customWidth="1"/>
    <col min="6660" max="6660" width="41.28515625" bestFit="1" customWidth="1"/>
    <col min="6661" max="6663" width="20.28515625" bestFit="1" customWidth="1"/>
    <col min="6914" max="6914" width="7" bestFit="1" customWidth="1"/>
    <col min="6916" max="6916" width="41.28515625" bestFit="1" customWidth="1"/>
    <col min="6917" max="6919" width="20.28515625" bestFit="1" customWidth="1"/>
    <col min="7170" max="7170" width="7" bestFit="1" customWidth="1"/>
    <col min="7172" max="7172" width="41.28515625" bestFit="1" customWidth="1"/>
    <col min="7173" max="7175" width="20.28515625" bestFit="1" customWidth="1"/>
    <col min="7426" max="7426" width="7" bestFit="1" customWidth="1"/>
    <col min="7428" max="7428" width="41.28515625" bestFit="1" customWidth="1"/>
    <col min="7429" max="7431" width="20.28515625" bestFit="1" customWidth="1"/>
    <col min="7682" max="7682" width="7" bestFit="1" customWidth="1"/>
    <col min="7684" max="7684" width="41.28515625" bestFit="1" customWidth="1"/>
    <col min="7685" max="7687" width="20.28515625" bestFit="1" customWidth="1"/>
    <col min="7938" max="7938" width="7" bestFit="1" customWidth="1"/>
    <col min="7940" max="7940" width="41.28515625" bestFit="1" customWidth="1"/>
    <col min="7941" max="7943" width="20.28515625" bestFit="1" customWidth="1"/>
    <col min="8194" max="8194" width="7" bestFit="1" customWidth="1"/>
    <col min="8196" max="8196" width="41.28515625" bestFit="1" customWidth="1"/>
    <col min="8197" max="8199" width="20.28515625" bestFit="1" customWidth="1"/>
    <col min="8450" max="8450" width="7" bestFit="1" customWidth="1"/>
    <col min="8452" max="8452" width="41.28515625" bestFit="1" customWidth="1"/>
    <col min="8453" max="8455" width="20.28515625" bestFit="1" customWidth="1"/>
    <col min="8706" max="8706" width="7" bestFit="1" customWidth="1"/>
    <col min="8708" max="8708" width="41.28515625" bestFit="1" customWidth="1"/>
    <col min="8709" max="8711" width="20.28515625" bestFit="1" customWidth="1"/>
    <col min="8962" max="8962" width="7" bestFit="1" customWidth="1"/>
    <col min="8964" max="8964" width="41.28515625" bestFit="1" customWidth="1"/>
    <col min="8965" max="8967" width="20.28515625" bestFit="1" customWidth="1"/>
    <col min="9218" max="9218" width="7" bestFit="1" customWidth="1"/>
    <col min="9220" max="9220" width="41.28515625" bestFit="1" customWidth="1"/>
    <col min="9221" max="9223" width="20.28515625" bestFit="1" customWidth="1"/>
    <col min="9474" max="9474" width="7" bestFit="1" customWidth="1"/>
    <col min="9476" max="9476" width="41.28515625" bestFit="1" customWidth="1"/>
    <col min="9477" max="9479" width="20.28515625" bestFit="1" customWidth="1"/>
    <col min="9730" max="9730" width="7" bestFit="1" customWidth="1"/>
    <col min="9732" max="9732" width="41.28515625" bestFit="1" customWidth="1"/>
    <col min="9733" max="9735" width="20.28515625" bestFit="1" customWidth="1"/>
    <col min="9986" max="9986" width="7" bestFit="1" customWidth="1"/>
    <col min="9988" max="9988" width="41.28515625" bestFit="1" customWidth="1"/>
    <col min="9989" max="9991" width="20.28515625" bestFit="1" customWidth="1"/>
    <col min="10242" max="10242" width="7" bestFit="1" customWidth="1"/>
    <col min="10244" max="10244" width="41.28515625" bestFit="1" customWidth="1"/>
    <col min="10245" max="10247" width="20.28515625" bestFit="1" customWidth="1"/>
    <col min="10498" max="10498" width="7" bestFit="1" customWidth="1"/>
    <col min="10500" max="10500" width="41.28515625" bestFit="1" customWidth="1"/>
    <col min="10501" max="10503" width="20.28515625" bestFit="1" customWidth="1"/>
    <col min="10754" max="10754" width="7" bestFit="1" customWidth="1"/>
    <col min="10756" max="10756" width="41.28515625" bestFit="1" customWidth="1"/>
    <col min="10757" max="10759" width="20.28515625" bestFit="1" customWidth="1"/>
    <col min="11010" max="11010" width="7" bestFit="1" customWidth="1"/>
    <col min="11012" max="11012" width="41.28515625" bestFit="1" customWidth="1"/>
    <col min="11013" max="11015" width="20.28515625" bestFit="1" customWidth="1"/>
    <col min="11266" max="11266" width="7" bestFit="1" customWidth="1"/>
    <col min="11268" max="11268" width="41.28515625" bestFit="1" customWidth="1"/>
    <col min="11269" max="11271" width="20.28515625" bestFit="1" customWidth="1"/>
    <col min="11522" max="11522" width="7" bestFit="1" customWidth="1"/>
    <col min="11524" max="11524" width="41.28515625" bestFit="1" customWidth="1"/>
    <col min="11525" max="11527" width="20.28515625" bestFit="1" customWidth="1"/>
    <col min="11778" max="11778" width="7" bestFit="1" customWidth="1"/>
    <col min="11780" max="11780" width="41.28515625" bestFit="1" customWidth="1"/>
    <col min="11781" max="11783" width="20.28515625" bestFit="1" customWidth="1"/>
    <col min="12034" max="12034" width="7" bestFit="1" customWidth="1"/>
    <col min="12036" max="12036" width="41.28515625" bestFit="1" customWidth="1"/>
    <col min="12037" max="12039" width="20.28515625" bestFit="1" customWidth="1"/>
    <col min="12290" max="12290" width="7" bestFit="1" customWidth="1"/>
    <col min="12292" max="12292" width="41.28515625" bestFit="1" customWidth="1"/>
    <col min="12293" max="12295" width="20.28515625" bestFit="1" customWidth="1"/>
    <col min="12546" max="12546" width="7" bestFit="1" customWidth="1"/>
    <col min="12548" max="12548" width="41.28515625" bestFit="1" customWidth="1"/>
    <col min="12549" max="12551" width="20.28515625" bestFit="1" customWidth="1"/>
    <col min="12802" max="12802" width="7" bestFit="1" customWidth="1"/>
    <col min="12804" max="12804" width="41.28515625" bestFit="1" customWidth="1"/>
    <col min="12805" max="12807" width="20.28515625" bestFit="1" customWidth="1"/>
    <col min="13058" max="13058" width="7" bestFit="1" customWidth="1"/>
    <col min="13060" max="13060" width="41.28515625" bestFit="1" customWidth="1"/>
    <col min="13061" max="13063" width="20.28515625" bestFit="1" customWidth="1"/>
    <col min="13314" max="13314" width="7" bestFit="1" customWidth="1"/>
    <col min="13316" max="13316" width="41.28515625" bestFit="1" customWidth="1"/>
    <col min="13317" max="13319" width="20.28515625" bestFit="1" customWidth="1"/>
    <col min="13570" max="13570" width="7" bestFit="1" customWidth="1"/>
    <col min="13572" max="13572" width="41.28515625" bestFit="1" customWidth="1"/>
    <col min="13573" max="13575" width="20.28515625" bestFit="1" customWidth="1"/>
    <col min="13826" max="13826" width="7" bestFit="1" customWidth="1"/>
    <col min="13828" max="13828" width="41.28515625" bestFit="1" customWidth="1"/>
    <col min="13829" max="13831" width="20.28515625" bestFit="1" customWidth="1"/>
    <col min="14082" max="14082" width="7" bestFit="1" customWidth="1"/>
    <col min="14084" max="14084" width="41.28515625" bestFit="1" customWidth="1"/>
    <col min="14085" max="14087" width="20.28515625" bestFit="1" customWidth="1"/>
    <col min="14338" max="14338" width="7" bestFit="1" customWidth="1"/>
    <col min="14340" max="14340" width="41.28515625" bestFit="1" customWidth="1"/>
    <col min="14341" max="14343" width="20.28515625" bestFit="1" customWidth="1"/>
    <col min="14594" max="14594" width="7" bestFit="1" customWidth="1"/>
    <col min="14596" max="14596" width="41.28515625" bestFit="1" customWidth="1"/>
    <col min="14597" max="14599" width="20.28515625" bestFit="1" customWidth="1"/>
    <col min="14850" max="14850" width="7" bestFit="1" customWidth="1"/>
    <col min="14852" max="14852" width="41.28515625" bestFit="1" customWidth="1"/>
    <col min="14853" max="14855" width="20.28515625" bestFit="1" customWidth="1"/>
    <col min="15106" max="15106" width="7" bestFit="1" customWidth="1"/>
    <col min="15108" max="15108" width="41.28515625" bestFit="1" customWidth="1"/>
    <col min="15109" max="15111" width="20.28515625" bestFit="1" customWidth="1"/>
    <col min="15362" max="15362" width="7" bestFit="1" customWidth="1"/>
    <col min="15364" max="15364" width="41.28515625" bestFit="1" customWidth="1"/>
    <col min="15365" max="15367" width="20.28515625" bestFit="1" customWidth="1"/>
    <col min="15618" max="15618" width="7" bestFit="1" customWidth="1"/>
    <col min="15620" max="15620" width="41.28515625" bestFit="1" customWidth="1"/>
    <col min="15621" max="15623" width="20.28515625" bestFit="1" customWidth="1"/>
    <col min="15874" max="15874" width="7" bestFit="1" customWidth="1"/>
    <col min="15876" max="15876" width="41.28515625" bestFit="1" customWidth="1"/>
    <col min="15877" max="15879" width="20.28515625" bestFit="1" customWidth="1"/>
    <col min="16130" max="16130" width="7" bestFit="1" customWidth="1"/>
    <col min="16132" max="16132" width="41.28515625" bestFit="1" customWidth="1"/>
    <col min="16133" max="16135" width="20.28515625" bestFit="1" customWidth="1"/>
  </cols>
  <sheetData>
    <row r="2" spans="1:18" ht="15.75" customHeight="1" x14ac:dyDescent="0.25">
      <c r="A2" s="904" t="s">
        <v>0</v>
      </c>
      <c r="B2" s="904"/>
      <c r="C2" s="904"/>
      <c r="D2" s="904"/>
      <c r="E2" s="904"/>
      <c r="F2" s="904"/>
      <c r="G2" s="904"/>
    </row>
    <row r="3" spans="1:18" ht="15.75" customHeight="1" x14ac:dyDescent="0.25">
      <c r="A3" s="277"/>
      <c r="B3" s="277"/>
      <c r="C3" s="277"/>
      <c r="D3" s="277"/>
      <c r="E3" s="277"/>
      <c r="F3" s="277"/>
      <c r="G3" s="277"/>
    </row>
    <row r="4" spans="1:18" ht="15.75" customHeight="1" x14ac:dyDescent="0.25">
      <c r="A4" s="904" t="s">
        <v>1</v>
      </c>
      <c r="B4" s="904"/>
      <c r="C4" s="904"/>
      <c r="D4" s="904"/>
      <c r="E4" s="904"/>
      <c r="F4" s="904"/>
      <c r="G4" s="904"/>
    </row>
    <row r="5" spans="1:18" x14ac:dyDescent="0.25">
      <c r="A5" s="278"/>
      <c r="B5" s="278"/>
      <c r="C5" s="278"/>
      <c r="D5" s="278"/>
      <c r="E5" s="278"/>
      <c r="F5" s="278"/>
      <c r="G5" s="278"/>
    </row>
    <row r="6" spans="1:18" ht="15.75" x14ac:dyDescent="0.25">
      <c r="A6" s="905" t="s">
        <v>238</v>
      </c>
      <c r="B6" s="905"/>
      <c r="C6" s="905"/>
      <c r="D6" s="905"/>
      <c r="E6" s="905"/>
      <c r="F6" s="905"/>
      <c r="G6" s="905"/>
    </row>
    <row r="7" spans="1:18" x14ac:dyDescent="0.25">
      <c r="A7" s="279"/>
      <c r="B7" s="906"/>
      <c r="C7" s="906"/>
      <c r="D7" s="906"/>
      <c r="E7" s="906"/>
      <c r="F7" s="906"/>
      <c r="G7" s="906"/>
    </row>
    <row r="8" spans="1:18" ht="15.75" x14ac:dyDescent="0.25">
      <c r="A8" s="907" t="s">
        <v>2</v>
      </c>
      <c r="B8" s="908"/>
      <c r="C8" s="908"/>
      <c r="D8" s="908"/>
      <c r="E8" s="908"/>
      <c r="F8" s="908"/>
      <c r="G8" s="908"/>
    </row>
    <row r="9" spans="1:18" ht="73.5" customHeight="1" x14ac:dyDescent="0.25">
      <c r="A9" s="280" t="s">
        <v>3</v>
      </c>
      <c r="B9" s="280" t="s">
        <v>4</v>
      </c>
      <c r="C9" s="281" t="s">
        <v>6</v>
      </c>
      <c r="D9" s="868" t="s">
        <v>629</v>
      </c>
      <c r="E9" s="731" t="s">
        <v>608</v>
      </c>
      <c r="F9" s="726" t="s">
        <v>609</v>
      </c>
      <c r="G9" s="727" t="s">
        <v>617</v>
      </c>
    </row>
    <row r="10" spans="1:18" x14ac:dyDescent="0.25">
      <c r="A10" s="284">
        <v>6</v>
      </c>
      <c r="B10" s="285"/>
      <c r="C10" s="284"/>
      <c r="D10" s="286">
        <f>D11+D33+D40+D47+D57+D66</f>
        <v>2228337.5499999998</v>
      </c>
      <c r="E10" s="286">
        <f>E11+E33+E40+E47+E57+E66</f>
        <v>4702255.6300000008</v>
      </c>
      <c r="F10" s="786">
        <f>F11+F33+F40+F47+F57+F66</f>
        <v>4988157.92</v>
      </c>
      <c r="G10" s="786">
        <f>G11+G33+G40+G47+G57+G66</f>
        <v>2608090.31</v>
      </c>
    </row>
    <row r="11" spans="1:18" x14ac:dyDescent="0.25">
      <c r="A11" s="287"/>
      <c r="B11" s="288">
        <v>63</v>
      </c>
      <c r="C11" s="289" t="s">
        <v>41</v>
      </c>
      <c r="D11" s="290">
        <f>D12+D14+D19+D22+D27+D31</f>
        <v>15048.23</v>
      </c>
      <c r="E11" s="290">
        <f>E12+E14+E19+E22+E27+E31</f>
        <v>128013.95</v>
      </c>
      <c r="F11" s="787">
        <f>F12+F14+F19+F22+F27+F31</f>
        <v>472013.94999999995</v>
      </c>
      <c r="G11" s="787">
        <f>G12+G14+G19+G22+G27+G31</f>
        <v>293965.23</v>
      </c>
      <c r="I11" s="291" t="s">
        <v>239</v>
      </c>
      <c r="K11" s="292"/>
    </row>
    <row r="12" spans="1:18" hidden="1" x14ac:dyDescent="0.25">
      <c r="A12" s="287"/>
      <c r="B12" s="293">
        <v>632</v>
      </c>
      <c r="C12" s="294" t="s">
        <v>240</v>
      </c>
      <c r="D12" s="295">
        <f>SUM(D13)</f>
        <v>0</v>
      </c>
      <c r="E12" s="295">
        <f>SUM(E13)</f>
        <v>0</v>
      </c>
      <c r="F12" s="788">
        <f>SUM(F13)</f>
        <v>0</v>
      </c>
      <c r="G12" s="788">
        <f>SUM(G13)</f>
        <v>0</v>
      </c>
    </row>
    <row r="13" spans="1:18" x14ac:dyDescent="0.25">
      <c r="A13" s="287"/>
      <c r="B13" s="296">
        <v>6324</v>
      </c>
      <c r="C13" s="297" t="s">
        <v>241</v>
      </c>
      <c r="D13" s="298">
        <v>0</v>
      </c>
      <c r="E13" s="298">
        <v>0</v>
      </c>
      <c r="F13" s="789">
        <v>0</v>
      </c>
      <c r="G13" s="789">
        <v>0</v>
      </c>
    </row>
    <row r="14" spans="1:18" ht="15.75" x14ac:dyDescent="0.25">
      <c r="A14" s="287"/>
      <c r="B14" s="293">
        <v>633</v>
      </c>
      <c r="C14" s="299" t="s">
        <v>242</v>
      </c>
      <c r="D14" s="295">
        <f>D15+D18</f>
        <v>600</v>
      </c>
      <c r="E14" s="295">
        <f>E15+E18</f>
        <v>0</v>
      </c>
      <c r="F14" s="788">
        <f t="shared" ref="F14:G14" si="0">F15+F18</f>
        <v>60000</v>
      </c>
      <c r="G14" s="788">
        <f t="shared" si="0"/>
        <v>0</v>
      </c>
      <c r="I14" s="300" t="s">
        <v>243</v>
      </c>
      <c r="J14" s="301"/>
      <c r="K14" s="301"/>
      <c r="L14" s="301"/>
      <c r="M14" s="301"/>
      <c r="N14" s="301"/>
      <c r="O14" s="301"/>
      <c r="P14" s="301"/>
      <c r="Q14" s="301"/>
      <c r="R14" s="301"/>
    </row>
    <row r="15" spans="1:18" x14ac:dyDescent="0.25">
      <c r="A15" s="287"/>
      <c r="B15" s="287">
        <v>6331</v>
      </c>
      <c r="C15" s="304" t="s">
        <v>244</v>
      </c>
      <c r="D15" s="298">
        <f>SUM(D17)</f>
        <v>600</v>
      </c>
      <c r="E15" s="298">
        <f>SUM(E17)</f>
        <v>0</v>
      </c>
      <c r="F15" s="789">
        <f>SUM(F16:F17)</f>
        <v>60000</v>
      </c>
      <c r="G15" s="789">
        <f>SUM(G16:G17)</f>
        <v>0</v>
      </c>
      <c r="I15" s="291" t="s">
        <v>245</v>
      </c>
    </row>
    <row r="16" spans="1:18" x14ac:dyDescent="0.25">
      <c r="A16" s="287"/>
      <c r="B16" s="302">
        <v>63312</v>
      </c>
      <c r="C16" s="303" t="s">
        <v>599</v>
      </c>
      <c r="D16" s="298"/>
      <c r="E16" s="298"/>
      <c r="F16" s="789">
        <f>'Prihodi po ek klas i izvorima'!G19</f>
        <v>60000</v>
      </c>
      <c r="G16" s="789">
        <f>'Prihodi po ek klas i izvorima'!H19</f>
        <v>0</v>
      </c>
      <c r="I16" s="291"/>
    </row>
    <row r="17" spans="1:9" x14ac:dyDescent="0.25">
      <c r="A17" s="287"/>
      <c r="B17" s="302">
        <v>63313</v>
      </c>
      <c r="C17" s="303" t="s">
        <v>549</v>
      </c>
      <c r="D17" s="298">
        <f>'Prihodi po ek klas i izvorima'!E20</f>
        <v>600</v>
      </c>
      <c r="E17" s="298">
        <f>'Prihodi po ek klas i izvorima'!F20</f>
        <v>0</v>
      </c>
      <c r="F17" s="789">
        <f>'Prihodi po ek klas i izvorima'!G20</f>
        <v>0</v>
      </c>
      <c r="G17" s="789">
        <f>'Prihodi po ek klas i izvorima'!H20</f>
        <v>0</v>
      </c>
      <c r="I17" s="291"/>
    </row>
    <row r="18" spans="1:9" x14ac:dyDescent="0.25">
      <c r="A18" s="287"/>
      <c r="B18" s="287">
        <v>6332</v>
      </c>
      <c r="C18" s="304" t="s">
        <v>246</v>
      </c>
      <c r="D18" s="298">
        <f>'Prihodi po ek klas i izvorima'!E21</f>
        <v>0</v>
      </c>
      <c r="E18" s="298">
        <f>'Prihodi po ek klas i izvorima'!F21</f>
        <v>0</v>
      </c>
      <c r="F18" s="789">
        <f>'Prihodi po ek klas i izvorima'!G21</f>
        <v>0</v>
      </c>
      <c r="G18" s="789">
        <f>'Prihodi po ek klas i izvorima'!H21</f>
        <v>0</v>
      </c>
    </row>
    <row r="19" spans="1:9" s="306" customFormat="1" x14ac:dyDescent="0.25">
      <c r="A19" s="287"/>
      <c r="B19" s="287">
        <v>634</v>
      </c>
      <c r="C19" s="304" t="s">
        <v>24</v>
      </c>
      <c r="D19" s="305">
        <f>SUM(D20)</f>
        <v>0</v>
      </c>
      <c r="E19" s="305">
        <f>SUM(E20)</f>
        <v>68314.61</v>
      </c>
      <c r="F19" s="790">
        <f>SUM(F20)</f>
        <v>68314.61</v>
      </c>
      <c r="G19" s="790">
        <f t="shared" ref="G19" si="1">SUM(G20)</f>
        <v>0</v>
      </c>
    </row>
    <row r="20" spans="1:9" s="306" customFormat="1" x14ac:dyDescent="0.25">
      <c r="A20" s="287"/>
      <c r="B20" s="287">
        <v>6341</v>
      </c>
      <c r="C20" s="304" t="s">
        <v>247</v>
      </c>
      <c r="D20" s="305">
        <f>D21</f>
        <v>0</v>
      </c>
      <c r="E20" s="305">
        <f>E21</f>
        <v>68314.61</v>
      </c>
      <c r="F20" s="790">
        <f>F21</f>
        <v>68314.61</v>
      </c>
      <c r="G20" s="790">
        <f t="shared" ref="G20" si="2">G21</f>
        <v>0</v>
      </c>
    </row>
    <row r="21" spans="1:9" x14ac:dyDescent="0.25">
      <c r="A21" s="287"/>
      <c r="B21" s="302">
        <v>63414</v>
      </c>
      <c r="C21" s="307" t="s">
        <v>247</v>
      </c>
      <c r="D21" s="298">
        <f>'Prihodi po ek klas i izvorima'!E24</f>
        <v>0</v>
      </c>
      <c r="E21" s="298">
        <f>'Prihodi po ek klas i izvorima'!F24</f>
        <v>68314.61</v>
      </c>
      <c r="F21" s="789">
        <f>'Prihodi po ek klas i izvorima'!G24</f>
        <v>68314.61</v>
      </c>
      <c r="G21" s="789">
        <f>'Prihodi po ek klas i izvorima'!H24</f>
        <v>0</v>
      </c>
    </row>
    <row r="22" spans="1:9" x14ac:dyDescent="0.25">
      <c r="A22" s="287"/>
      <c r="B22" s="287">
        <v>636</v>
      </c>
      <c r="C22" s="308" t="s">
        <v>248</v>
      </c>
      <c r="D22" s="305">
        <f>SUM(D23)</f>
        <v>0</v>
      </c>
      <c r="E22" s="305">
        <f>SUM(E23)</f>
        <v>14000</v>
      </c>
      <c r="F22" s="790">
        <f>F23+F25</f>
        <v>298000</v>
      </c>
      <c r="G22" s="790">
        <f>G23+G25</f>
        <v>284000</v>
      </c>
    </row>
    <row r="23" spans="1:9" x14ac:dyDescent="0.25">
      <c r="A23" s="287"/>
      <c r="B23" s="287">
        <v>6361</v>
      </c>
      <c r="C23" s="308" t="s">
        <v>249</v>
      </c>
      <c r="D23" s="305">
        <f>D24</f>
        <v>0</v>
      </c>
      <c r="E23" s="305">
        <f>E24</f>
        <v>14000</v>
      </c>
      <c r="F23" s="790">
        <f>F24</f>
        <v>14000</v>
      </c>
      <c r="G23" s="790">
        <f t="shared" ref="G23" si="3">G24</f>
        <v>0</v>
      </c>
    </row>
    <row r="24" spans="1:9" x14ac:dyDescent="0.25">
      <c r="A24" s="287"/>
      <c r="B24" s="302">
        <v>63612</v>
      </c>
      <c r="C24" s="309" t="s">
        <v>249</v>
      </c>
      <c r="D24" s="298">
        <f>'Prihodi po ek klas i izvorima'!E27</f>
        <v>0</v>
      </c>
      <c r="E24" s="298">
        <f>'Prihodi po ek klas i izvorima'!F27</f>
        <v>14000</v>
      </c>
      <c r="F24" s="789">
        <f>'Prihodi po ek klas i izvorima'!G27</f>
        <v>14000</v>
      </c>
      <c r="G24" s="789">
        <f>'Prihodi po ek klas i izvorima'!H27</f>
        <v>0</v>
      </c>
    </row>
    <row r="25" spans="1:9" ht="25.5" x14ac:dyDescent="0.25">
      <c r="A25" s="287"/>
      <c r="B25" s="287">
        <v>6362</v>
      </c>
      <c r="C25" s="308" t="s">
        <v>597</v>
      </c>
      <c r="D25" s="305"/>
      <c r="E25" s="305"/>
      <c r="F25" s="790">
        <f>F26</f>
        <v>284000</v>
      </c>
      <c r="G25" s="790">
        <f>G26</f>
        <v>284000</v>
      </c>
    </row>
    <row r="26" spans="1:9" ht="25.5" x14ac:dyDescent="0.25">
      <c r="A26" s="287"/>
      <c r="B26" s="302">
        <v>63622</v>
      </c>
      <c r="C26" s="309" t="s">
        <v>597</v>
      </c>
      <c r="D26" s="298"/>
      <c r="E26" s="298"/>
      <c r="F26" s="789">
        <f>'Prihodi po ek klas i izvorima'!G29</f>
        <v>284000</v>
      </c>
      <c r="G26" s="789">
        <f>'Prihodi po ek klas i izvorima'!H29</f>
        <v>284000</v>
      </c>
    </row>
    <row r="27" spans="1:9" s="306" customFormat="1" x14ac:dyDescent="0.25">
      <c r="A27" s="287"/>
      <c r="B27" s="287">
        <v>638</v>
      </c>
      <c r="C27" s="308" t="s">
        <v>250</v>
      </c>
      <c r="D27" s="305">
        <f>D28+D30</f>
        <v>14448.23</v>
      </c>
      <c r="E27" s="305">
        <f>E28+E30</f>
        <v>45699.34</v>
      </c>
      <c r="F27" s="790">
        <f t="shared" ref="F27:G27" si="4">F28+F30</f>
        <v>45699.34</v>
      </c>
      <c r="G27" s="790">
        <f t="shared" si="4"/>
        <v>9965.23</v>
      </c>
    </row>
    <row r="28" spans="1:9" s="306" customFormat="1" x14ac:dyDescent="0.25">
      <c r="A28" s="287"/>
      <c r="B28" s="287">
        <v>6381</v>
      </c>
      <c r="C28" s="308" t="s">
        <v>34</v>
      </c>
      <c r="D28" s="305">
        <f>SUM(D29)</f>
        <v>14448.23</v>
      </c>
      <c r="E28" s="305">
        <f>SUM(E29)</f>
        <v>45699.34</v>
      </c>
      <c r="F28" s="790">
        <f t="shared" ref="F28:G28" si="5">SUM(F29)</f>
        <v>45699.34</v>
      </c>
      <c r="G28" s="790">
        <f t="shared" si="5"/>
        <v>9965.23</v>
      </c>
    </row>
    <row r="29" spans="1:9" x14ac:dyDescent="0.25">
      <c r="A29" s="302"/>
      <c r="B29" s="302">
        <v>63814</v>
      </c>
      <c r="C29" s="309" t="s">
        <v>34</v>
      </c>
      <c r="D29" s="298">
        <f>'Prihodi po ek klas i izvorima'!E32</f>
        <v>14448.23</v>
      </c>
      <c r="E29" s="298">
        <f>'Prihodi po ek klas i izvorima'!F32</f>
        <v>45699.34</v>
      </c>
      <c r="F29" s="789">
        <f>'Prihodi po ek klas i izvorima'!G32</f>
        <v>45699.34</v>
      </c>
      <c r="G29" s="789">
        <f>'Prihodi po ek klas i izvorima'!H32</f>
        <v>9965.23</v>
      </c>
    </row>
    <row r="30" spans="1:9" s="306" customFormat="1" x14ac:dyDescent="0.25">
      <c r="A30" s="287"/>
      <c r="B30" s="287">
        <v>6382</v>
      </c>
      <c r="C30" s="308" t="s">
        <v>251</v>
      </c>
      <c r="D30" s="305">
        <f>'Prihodi po ek klas i izvorima'!E33</f>
        <v>0</v>
      </c>
      <c r="E30" s="305">
        <f>'Prihodi po ek klas i izvorima'!F33</f>
        <v>0</v>
      </c>
      <c r="F30" s="790">
        <f>'Prihodi po ek klas i izvorima'!G33</f>
        <v>0</v>
      </c>
      <c r="G30" s="790">
        <f>'Prihodi po ek klas i izvorima'!H33</f>
        <v>0</v>
      </c>
    </row>
    <row r="31" spans="1:9" x14ac:dyDescent="0.25">
      <c r="A31" s="287"/>
      <c r="B31" s="287">
        <v>639</v>
      </c>
      <c r="C31" s="308" t="s">
        <v>252</v>
      </c>
      <c r="D31" s="305">
        <f>SUM(D32)</f>
        <v>0</v>
      </c>
      <c r="E31" s="305">
        <f>SUM(E32)</f>
        <v>0</v>
      </c>
      <c r="F31" s="790">
        <f t="shared" ref="F31:G31" si="6">SUM(F32)</f>
        <v>0</v>
      </c>
      <c r="G31" s="790">
        <f t="shared" si="6"/>
        <v>0</v>
      </c>
    </row>
    <row r="32" spans="1:9" s="306" customFormat="1" x14ac:dyDescent="0.25">
      <c r="A32" s="287"/>
      <c r="B32" s="287">
        <v>6391</v>
      </c>
      <c r="C32" s="308" t="s">
        <v>253</v>
      </c>
      <c r="D32" s="305">
        <f>'Prihodi po ek klas i izvorima'!E35</f>
        <v>0</v>
      </c>
      <c r="E32" s="305">
        <f>'Prihodi po ek klas i izvorima'!F35</f>
        <v>0</v>
      </c>
      <c r="F32" s="790">
        <f>'Prihodi po ek klas i izvorima'!G35</f>
        <v>0</v>
      </c>
      <c r="G32" s="790">
        <f>'Prihodi po ek klas i izvorima'!H35</f>
        <v>0</v>
      </c>
    </row>
    <row r="33" spans="1:7" x14ac:dyDescent="0.25">
      <c r="A33" s="287"/>
      <c r="B33" s="310">
        <v>64</v>
      </c>
      <c r="C33" s="311" t="s">
        <v>42</v>
      </c>
      <c r="D33" s="312">
        <f>D34+D36+D38+D39</f>
        <v>34.92</v>
      </c>
      <c r="E33" s="312">
        <f>E34+E36+E38+E39</f>
        <v>200</v>
      </c>
      <c r="F33" s="791">
        <f>F34+F36+F38+F39</f>
        <v>200</v>
      </c>
      <c r="G33" s="791">
        <f>G34+G36+G38+G39</f>
        <v>2.74</v>
      </c>
    </row>
    <row r="34" spans="1:7" x14ac:dyDescent="0.25">
      <c r="A34" s="287"/>
      <c r="B34" s="287">
        <v>6413</v>
      </c>
      <c r="C34" s="304" t="s">
        <v>254</v>
      </c>
      <c r="D34" s="305">
        <f>SUM(D35)</f>
        <v>18.170000000000002</v>
      </c>
      <c r="E34" s="305">
        <f>SUM(E35)</f>
        <v>200</v>
      </c>
      <c r="F34" s="790">
        <f>SUM(F35)</f>
        <v>200</v>
      </c>
      <c r="G34" s="790">
        <f>SUM(G35)</f>
        <v>2.74</v>
      </c>
    </row>
    <row r="35" spans="1:7" x14ac:dyDescent="0.25">
      <c r="A35" s="287"/>
      <c r="B35" s="302">
        <v>64132</v>
      </c>
      <c r="C35" s="303" t="s">
        <v>254</v>
      </c>
      <c r="D35" s="298">
        <f>'Prihodi po ek klas i izvorima'!E61</f>
        <v>18.170000000000002</v>
      </c>
      <c r="E35" s="298">
        <f>'Prihodi po ek klas i izvorima'!F61</f>
        <v>200</v>
      </c>
      <c r="F35" s="789">
        <f>'Prihodi po ek klas i izvorima'!G61</f>
        <v>200</v>
      </c>
      <c r="G35" s="789">
        <f>'Prihodi po ek klas i izvorima'!H61</f>
        <v>2.74</v>
      </c>
    </row>
    <row r="36" spans="1:7" x14ac:dyDescent="0.25">
      <c r="A36" s="287"/>
      <c r="B36" s="287">
        <v>6414</v>
      </c>
      <c r="C36" s="304" t="s">
        <v>550</v>
      </c>
      <c r="D36" s="305">
        <f>SUM(D37)</f>
        <v>16.75</v>
      </c>
      <c r="E36" s="305">
        <f>SUM(E37)</f>
        <v>0</v>
      </c>
      <c r="F36" s="790">
        <f>SUM(F37)</f>
        <v>0</v>
      </c>
      <c r="G36" s="790">
        <f>SUM(G37)</f>
        <v>0</v>
      </c>
    </row>
    <row r="37" spans="1:7" x14ac:dyDescent="0.25">
      <c r="A37" s="287"/>
      <c r="B37" s="302">
        <v>64143</v>
      </c>
      <c r="C37" s="303" t="s">
        <v>550</v>
      </c>
      <c r="D37" s="298">
        <f>'Prihodi po ek klas i izvorima'!E63</f>
        <v>16.75</v>
      </c>
      <c r="E37" s="298">
        <f>'Prihodi po ek klas i izvorima'!F63</f>
        <v>0</v>
      </c>
      <c r="F37" s="789">
        <f>'Prihodi po ek klas i izvorima'!G63</f>
        <v>0</v>
      </c>
      <c r="G37" s="789">
        <f>'Prihodi po ek klas i izvorima'!H63</f>
        <v>0</v>
      </c>
    </row>
    <row r="38" spans="1:7" x14ac:dyDescent="0.25">
      <c r="A38" s="287"/>
      <c r="B38" s="287">
        <v>6419</v>
      </c>
      <c r="C38" s="304" t="s">
        <v>255</v>
      </c>
      <c r="D38" s="305">
        <f>'Prihodi po ek klas i izvorima'!E39+'Prihodi po ek klas i izvorima'!E64</f>
        <v>0</v>
      </c>
      <c r="E38" s="305">
        <f>'Prihodi po ek klas i izvorima'!F39+'Prihodi po ek klas i izvorima'!F64</f>
        <v>0</v>
      </c>
      <c r="F38" s="790">
        <f>'Prihodi po ek klas i izvorima'!G39+'Prihodi po ek klas i izvorima'!G64</f>
        <v>0</v>
      </c>
      <c r="G38" s="790">
        <f>'Prihodi po ek klas i izvorima'!H39+'Prihodi po ek klas i izvorima'!H64</f>
        <v>0</v>
      </c>
    </row>
    <row r="39" spans="1:7" x14ac:dyDescent="0.25">
      <c r="A39" s="287"/>
      <c r="B39" s="287">
        <v>6429</v>
      </c>
      <c r="C39" s="304" t="s">
        <v>57</v>
      </c>
      <c r="D39" s="305">
        <f>'Prihodi po ek klas i izvorima'!E65</f>
        <v>0</v>
      </c>
      <c r="E39" s="305">
        <f>'Prihodi po ek klas i izvorima'!F65</f>
        <v>0</v>
      </c>
      <c r="F39" s="790">
        <f>'Prihodi po ek klas i izvorima'!G65</f>
        <v>0</v>
      </c>
      <c r="G39" s="790">
        <f>'Prihodi po ek klas i izvorima'!H65</f>
        <v>0</v>
      </c>
    </row>
    <row r="40" spans="1:7" x14ac:dyDescent="0.25">
      <c r="A40" s="287"/>
      <c r="B40" s="310">
        <v>65</v>
      </c>
      <c r="C40" s="311" t="s">
        <v>46</v>
      </c>
      <c r="D40" s="312">
        <f>D41</f>
        <v>31193.510000000002</v>
      </c>
      <c r="E40" s="312">
        <f>E41</f>
        <v>53000</v>
      </c>
      <c r="F40" s="791">
        <f>F41</f>
        <v>53000</v>
      </c>
      <c r="G40" s="791">
        <f>G41</f>
        <v>24794.35</v>
      </c>
    </row>
    <row r="41" spans="1:7" x14ac:dyDescent="0.25">
      <c r="A41" s="287"/>
      <c r="B41" s="287">
        <v>652</v>
      </c>
      <c r="C41" s="304" t="s">
        <v>46</v>
      </c>
      <c r="D41" s="305">
        <f>SUM(D42)</f>
        <v>31193.510000000002</v>
      </c>
      <c r="E41" s="305">
        <f>SUM(E42)</f>
        <v>53000</v>
      </c>
      <c r="F41" s="790">
        <f t="shared" ref="F41:G41" si="7">SUM(F42)</f>
        <v>53000</v>
      </c>
      <c r="G41" s="790">
        <f t="shared" si="7"/>
        <v>24794.35</v>
      </c>
    </row>
    <row r="42" spans="1:7" x14ac:dyDescent="0.25">
      <c r="A42" s="287"/>
      <c r="B42" s="287">
        <v>6526</v>
      </c>
      <c r="C42" s="304" t="s">
        <v>47</v>
      </c>
      <c r="D42" s="305">
        <f>SUM(D43:D46)</f>
        <v>31193.510000000002</v>
      </c>
      <c r="E42" s="305">
        <f>SUM(E43:E46)</f>
        <v>53000</v>
      </c>
      <c r="F42" s="790">
        <f t="shared" ref="F42:G42" si="8">SUM(F43:F46)</f>
        <v>53000</v>
      </c>
      <c r="G42" s="790">
        <f t="shared" si="8"/>
        <v>24794.35</v>
      </c>
    </row>
    <row r="43" spans="1:7" x14ac:dyDescent="0.25">
      <c r="A43" s="287"/>
      <c r="B43" s="302">
        <v>65264</v>
      </c>
      <c r="C43" s="303" t="s">
        <v>453</v>
      </c>
      <c r="D43" s="298">
        <f>'Prihodi po ek klas i izvorima'!E43</f>
        <v>27405.34</v>
      </c>
      <c r="E43" s="298">
        <f>'Prihodi po ek klas i izvorima'!F43</f>
        <v>44000</v>
      </c>
      <c r="F43" s="789">
        <f>'Prihodi po ek klas i izvorima'!G43</f>
        <v>14000</v>
      </c>
      <c r="G43" s="789">
        <f>'Prihodi po ek klas i izvorima'!H43</f>
        <v>0</v>
      </c>
    </row>
    <row r="44" spans="1:7" x14ac:dyDescent="0.25">
      <c r="A44" s="287"/>
      <c r="B44" s="302">
        <v>65265</v>
      </c>
      <c r="C44" s="303" t="s">
        <v>613</v>
      </c>
      <c r="D44" s="298">
        <f>'Prihodi po ek klas i izvorima'!E44</f>
        <v>0</v>
      </c>
      <c r="E44" s="298">
        <f>'Prihodi po ek klas i izvorima'!F44</f>
        <v>0</v>
      </c>
      <c r="F44" s="298">
        <f>'Prihodi po ek klas i izvorima'!G44</f>
        <v>30000</v>
      </c>
      <c r="G44" s="298">
        <f>'Prihodi po ek klas i izvorima'!H44</f>
        <v>23644.07</v>
      </c>
    </row>
    <row r="45" spans="1:7" x14ac:dyDescent="0.25">
      <c r="A45" s="287"/>
      <c r="B45" s="302">
        <v>65267</v>
      </c>
      <c r="C45" s="303" t="s">
        <v>454</v>
      </c>
      <c r="D45" s="298">
        <f>'Prihodi po ek klas i izvorima'!E85</f>
        <v>3788.17</v>
      </c>
      <c r="E45" s="298">
        <f>'Prihodi po ek klas i izvorima'!F85</f>
        <v>5500</v>
      </c>
      <c r="F45" s="789">
        <f>'Prihodi po ek klas i izvorima'!G85</f>
        <v>5500</v>
      </c>
      <c r="G45" s="789">
        <f>'Prihodi po ek klas i izvorima'!H85</f>
        <v>1150.28</v>
      </c>
    </row>
    <row r="46" spans="1:7" x14ac:dyDescent="0.25">
      <c r="A46" s="287"/>
      <c r="B46" s="302">
        <v>65269</v>
      </c>
      <c r="C46" s="303" t="s">
        <v>455</v>
      </c>
      <c r="D46" s="298">
        <f>'Prihodi po ek klas i izvorima'!E45</f>
        <v>0</v>
      </c>
      <c r="E46" s="298">
        <f>'Prihodi po ek klas i izvorima'!F45</f>
        <v>3500</v>
      </c>
      <c r="F46" s="789">
        <f>'Prihodi po ek klas i izvorima'!G45</f>
        <v>3500</v>
      </c>
      <c r="G46" s="789">
        <f>'Prihodi po ek klas i izvorima'!H45</f>
        <v>0</v>
      </c>
    </row>
    <row r="47" spans="1:7" x14ac:dyDescent="0.25">
      <c r="A47" s="287"/>
      <c r="B47" s="310">
        <v>66</v>
      </c>
      <c r="C47" s="311" t="s">
        <v>256</v>
      </c>
      <c r="D47" s="312">
        <f>D48+D53</f>
        <v>77725.179999999993</v>
      </c>
      <c r="E47" s="312">
        <f>E48+E53</f>
        <v>249583.29</v>
      </c>
      <c r="F47" s="791">
        <f>F48+F53</f>
        <v>249583.29</v>
      </c>
      <c r="G47" s="791">
        <f>G48+G53</f>
        <v>70068.47</v>
      </c>
    </row>
    <row r="48" spans="1:7" x14ac:dyDescent="0.25">
      <c r="A48" s="287"/>
      <c r="B48" s="287">
        <v>661</v>
      </c>
      <c r="C48" s="308" t="s">
        <v>257</v>
      </c>
      <c r="D48" s="305">
        <f>SUM(D49:D50)</f>
        <v>73917.929999999993</v>
      </c>
      <c r="E48" s="305">
        <f>SUM(E49:E50)</f>
        <v>199083.29</v>
      </c>
      <c r="F48" s="790">
        <f t="shared" ref="F48:G48" si="9">SUM(F49:F50)</f>
        <v>199083.29</v>
      </c>
      <c r="G48" s="790">
        <f t="shared" si="9"/>
        <v>70068.47</v>
      </c>
    </row>
    <row r="49" spans="1:7" x14ac:dyDescent="0.25">
      <c r="A49" s="302"/>
      <c r="B49" s="287">
        <v>6614</v>
      </c>
      <c r="C49" s="308" t="s">
        <v>258</v>
      </c>
      <c r="D49" s="305">
        <f>'Prihodi po ek klas i izvorima'!E68</f>
        <v>0</v>
      </c>
      <c r="E49" s="305">
        <f>'Prihodi po ek klas i izvorima'!F68</f>
        <v>0</v>
      </c>
      <c r="F49" s="790">
        <f>'Prihodi po ek klas i izvorima'!G68</f>
        <v>0</v>
      </c>
      <c r="G49" s="790">
        <f>'Prihodi po ek klas i izvorima'!H68</f>
        <v>0</v>
      </c>
    </row>
    <row r="50" spans="1:7" x14ac:dyDescent="0.25">
      <c r="A50" s="302"/>
      <c r="B50" s="287">
        <v>6615</v>
      </c>
      <c r="C50" s="308" t="s">
        <v>64</v>
      </c>
      <c r="D50" s="305">
        <f>SUM(D51)</f>
        <v>73917.929999999993</v>
      </c>
      <c r="E50" s="305">
        <f>SUM(E51)</f>
        <v>199083.29</v>
      </c>
      <c r="F50" s="790">
        <f>SUM(F51:F52)</f>
        <v>199083.29</v>
      </c>
      <c r="G50" s="790">
        <f>SUM(G51:G52)</f>
        <v>70068.47</v>
      </c>
    </row>
    <row r="51" spans="1:7" x14ac:dyDescent="0.25">
      <c r="A51" s="287"/>
      <c r="B51" s="302">
        <v>66151</v>
      </c>
      <c r="C51" s="303" t="s">
        <v>64</v>
      </c>
      <c r="D51" s="298">
        <f>'Prihodi po ek klas i izvorima'!E70</f>
        <v>73917.929999999993</v>
      </c>
      <c r="E51" s="298">
        <f>'Prihodi po ek klas i izvorima'!F70</f>
        <v>199083.29</v>
      </c>
      <c r="F51" s="789">
        <f>'Prihodi po ek klas i izvorima'!G70</f>
        <v>199083.29</v>
      </c>
      <c r="G51" s="789">
        <f>'Prihodi po ek klas i izvorima'!H70</f>
        <v>70068.47</v>
      </c>
    </row>
    <row r="52" spans="1:7" x14ac:dyDescent="0.25">
      <c r="A52" s="287"/>
      <c r="B52" s="302">
        <v>66153</v>
      </c>
      <c r="C52" s="303" t="s">
        <v>601</v>
      </c>
      <c r="D52" s="298"/>
      <c r="E52" s="298"/>
      <c r="F52" s="789">
        <f>'Prihodi po ek klas i izvorima'!G71</f>
        <v>0</v>
      </c>
      <c r="G52" s="789">
        <f>'Prihodi po ek klas i izvorima'!H71</f>
        <v>0</v>
      </c>
    </row>
    <row r="53" spans="1:7" x14ac:dyDescent="0.25">
      <c r="A53" s="287"/>
      <c r="B53" s="287">
        <v>663</v>
      </c>
      <c r="C53" s="304" t="s">
        <v>259</v>
      </c>
      <c r="D53" s="305">
        <f>D54+D56</f>
        <v>3807.25</v>
      </c>
      <c r="E53" s="305">
        <f>E54+E56</f>
        <v>50500</v>
      </c>
      <c r="F53" s="790">
        <f t="shared" ref="F53:G53" si="10">F54+F56</f>
        <v>50500</v>
      </c>
      <c r="G53" s="790">
        <f t="shared" si="10"/>
        <v>0</v>
      </c>
    </row>
    <row r="54" spans="1:7" x14ac:dyDescent="0.25">
      <c r="A54" s="287"/>
      <c r="B54" s="287">
        <v>6631</v>
      </c>
      <c r="C54" s="304" t="s">
        <v>68</v>
      </c>
      <c r="D54" s="305">
        <f>SUM(D55)</f>
        <v>3807.25</v>
      </c>
      <c r="E54" s="305">
        <f>SUM(E55)</f>
        <v>50500</v>
      </c>
      <c r="F54" s="790">
        <f t="shared" ref="F54:G54" si="11">SUM(F55)</f>
        <v>50500</v>
      </c>
      <c r="G54" s="790">
        <f t="shared" si="11"/>
        <v>0</v>
      </c>
    </row>
    <row r="55" spans="1:7" x14ac:dyDescent="0.25">
      <c r="A55" s="287"/>
      <c r="B55" s="302">
        <v>66313</v>
      </c>
      <c r="C55" s="303" t="s">
        <v>68</v>
      </c>
      <c r="D55" s="298">
        <f>'Prihodi po ek klas i izvorima'!E79</f>
        <v>3807.25</v>
      </c>
      <c r="E55" s="298">
        <f>'Prihodi po ek klas i izvorima'!F79</f>
        <v>50500</v>
      </c>
      <c r="F55" s="789">
        <f>'Prihodi po ek klas i izvorima'!G79</f>
        <v>50500</v>
      </c>
      <c r="G55" s="789">
        <f>'Prihodi po ek klas i izvorima'!H79</f>
        <v>0</v>
      </c>
    </row>
    <row r="56" spans="1:7" x14ac:dyDescent="0.25">
      <c r="A56" s="287"/>
      <c r="B56" s="287">
        <v>6632</v>
      </c>
      <c r="C56" s="304" t="s">
        <v>70</v>
      </c>
      <c r="D56" s="298">
        <f>'Prihodi po ek klas i izvorima'!E80</f>
        <v>0</v>
      </c>
      <c r="E56" s="298">
        <f>'Prihodi po ek klas i izvorima'!F80</f>
        <v>0</v>
      </c>
      <c r="F56" s="789">
        <f>'Prihodi po ek klas i izvorima'!G80</f>
        <v>0</v>
      </c>
      <c r="G56" s="789">
        <f>'Prihodi po ek klas i izvorima'!H80</f>
        <v>0</v>
      </c>
    </row>
    <row r="57" spans="1:7" x14ac:dyDescent="0.25">
      <c r="A57" s="287"/>
      <c r="B57" s="310">
        <v>67</v>
      </c>
      <c r="C57" s="311" t="s">
        <v>260</v>
      </c>
      <c r="D57" s="312">
        <f>SUM(D58,D63)</f>
        <v>2103623</v>
      </c>
      <c r="E57" s="312">
        <f>SUM(E58,E63)</f>
        <v>4268458.3900000006</v>
      </c>
      <c r="F57" s="791">
        <f t="shared" ref="F57:G57" si="12">SUM(F58,F63)</f>
        <v>4210360.68</v>
      </c>
      <c r="G57" s="791">
        <f t="shared" si="12"/>
        <v>2219259.52</v>
      </c>
    </row>
    <row r="58" spans="1:7" x14ac:dyDescent="0.25">
      <c r="A58" s="287"/>
      <c r="B58" s="313">
        <v>671</v>
      </c>
      <c r="C58" s="314" t="s">
        <v>10</v>
      </c>
      <c r="D58" s="315">
        <f>D59+D61</f>
        <v>130583.54000000001</v>
      </c>
      <c r="E58" s="315">
        <f>E59+E61</f>
        <v>369361.73000000004</v>
      </c>
      <c r="F58" s="792">
        <f t="shared" ref="F58:G58" si="13">F59+F61</f>
        <v>311264.02</v>
      </c>
      <c r="G58" s="792">
        <f t="shared" si="13"/>
        <v>116122.25</v>
      </c>
    </row>
    <row r="59" spans="1:7" x14ac:dyDescent="0.25">
      <c r="A59" s="287"/>
      <c r="B59" s="313">
        <v>6711</v>
      </c>
      <c r="C59" s="314" t="s">
        <v>12</v>
      </c>
      <c r="D59" s="315">
        <f>SUM(D60)</f>
        <v>54337.27</v>
      </c>
      <c r="E59" s="315">
        <f>SUM(E60)</f>
        <v>103638.02</v>
      </c>
      <c r="F59" s="792">
        <f t="shared" ref="F59:G59" si="14">SUM(F60)</f>
        <v>102264.02</v>
      </c>
      <c r="G59" s="792">
        <f t="shared" si="14"/>
        <v>116122.25</v>
      </c>
    </row>
    <row r="60" spans="1:7" x14ac:dyDescent="0.25">
      <c r="A60" s="287"/>
      <c r="B60" s="316">
        <v>67111</v>
      </c>
      <c r="C60" s="317" t="s">
        <v>12</v>
      </c>
      <c r="D60" s="318">
        <f>'Prihodi po ek klas i izvorima'!E12</f>
        <v>54337.27</v>
      </c>
      <c r="E60" s="318">
        <f>'Prihodi po ek klas i izvorima'!F12</f>
        <v>103638.02</v>
      </c>
      <c r="F60" s="793">
        <f>'Prihodi po ek klas i izvorima'!G12</f>
        <v>102264.02</v>
      </c>
      <c r="G60" s="793">
        <f>'Prihodi po ek klas i izvorima'!H12</f>
        <v>116122.25</v>
      </c>
    </row>
    <row r="61" spans="1:7" x14ac:dyDescent="0.25">
      <c r="A61" s="287"/>
      <c r="B61" s="313">
        <v>6712</v>
      </c>
      <c r="C61" s="314" t="s">
        <v>14</v>
      </c>
      <c r="D61" s="315">
        <f>SUM(D62)</f>
        <v>76246.27</v>
      </c>
      <c r="E61" s="315">
        <f>SUM(E62)</f>
        <v>265723.71000000002</v>
      </c>
      <c r="F61" s="792">
        <f t="shared" ref="F61:G61" si="15">SUM(F62)</f>
        <v>209000</v>
      </c>
      <c r="G61" s="792">
        <f t="shared" si="15"/>
        <v>0</v>
      </c>
    </row>
    <row r="62" spans="1:7" x14ac:dyDescent="0.25">
      <c r="A62" s="287"/>
      <c r="B62" s="316">
        <v>67121</v>
      </c>
      <c r="C62" s="317" t="s">
        <v>14</v>
      </c>
      <c r="D62" s="318">
        <f>'Prihodi po ek klas i izvorima'!E14</f>
        <v>76246.27</v>
      </c>
      <c r="E62" s="318">
        <f>'Prihodi po ek klas i izvorima'!F14</f>
        <v>265723.71000000002</v>
      </c>
      <c r="F62" s="793">
        <f>'Prihodi po ek klas i izvorima'!G14</f>
        <v>209000</v>
      </c>
      <c r="G62" s="793">
        <f>'Prihodi po ek klas i izvorima'!H14</f>
        <v>0</v>
      </c>
    </row>
    <row r="63" spans="1:7" x14ac:dyDescent="0.25">
      <c r="A63" s="287"/>
      <c r="B63" s="287">
        <v>673</v>
      </c>
      <c r="C63" s="304" t="s">
        <v>261</v>
      </c>
      <c r="D63" s="305">
        <f>SUM(D64)</f>
        <v>1973039.46</v>
      </c>
      <c r="E63" s="305">
        <f>SUM(E64)</f>
        <v>3899096.66</v>
      </c>
      <c r="F63" s="790">
        <f t="shared" ref="F63:G63" si="16">SUM(F64)</f>
        <v>3899096.66</v>
      </c>
      <c r="G63" s="790">
        <f t="shared" si="16"/>
        <v>2103137.27</v>
      </c>
    </row>
    <row r="64" spans="1:7" x14ac:dyDescent="0.25">
      <c r="A64" s="287"/>
      <c r="B64" s="287">
        <v>6731</v>
      </c>
      <c r="C64" s="304" t="s">
        <v>49</v>
      </c>
      <c r="D64" s="305">
        <f>D65</f>
        <v>1973039.46</v>
      </c>
      <c r="E64" s="305">
        <f>E65</f>
        <v>3899096.66</v>
      </c>
      <c r="F64" s="790">
        <f t="shared" ref="F64:G64" si="17">F65</f>
        <v>3899096.66</v>
      </c>
      <c r="G64" s="790">
        <f t="shared" si="17"/>
        <v>2103137.27</v>
      </c>
    </row>
    <row r="65" spans="1:7" x14ac:dyDescent="0.25">
      <c r="A65" s="287"/>
      <c r="B65" s="302">
        <v>67311</v>
      </c>
      <c r="C65" s="303" t="s">
        <v>49</v>
      </c>
      <c r="D65" s="298">
        <f>'Prihodi po ek klas i izvorima'!E52</f>
        <v>1973039.46</v>
      </c>
      <c r="E65" s="298">
        <f>'Prihodi po ek klas i izvorima'!F52</f>
        <v>3899096.66</v>
      </c>
      <c r="F65" s="789">
        <f>'Prihodi po ek klas i izvorima'!G52</f>
        <v>3899096.66</v>
      </c>
      <c r="G65" s="789">
        <f>'Prihodi po ek klas i izvorima'!H52</f>
        <v>2103137.27</v>
      </c>
    </row>
    <row r="66" spans="1:7" x14ac:dyDescent="0.25">
      <c r="A66" s="287"/>
      <c r="B66" s="310">
        <v>68</v>
      </c>
      <c r="C66" s="319" t="s">
        <v>52</v>
      </c>
      <c r="D66" s="312">
        <f t="shared" ref="D66:G66" si="18">SUM(D67)</f>
        <v>712.71</v>
      </c>
      <c r="E66" s="312">
        <f t="shared" si="18"/>
        <v>3000</v>
      </c>
      <c r="F66" s="791">
        <f t="shared" si="18"/>
        <v>3000</v>
      </c>
      <c r="G66" s="791">
        <f t="shared" si="18"/>
        <v>0</v>
      </c>
    </row>
    <row r="67" spans="1:7" x14ac:dyDescent="0.25">
      <c r="A67" s="287"/>
      <c r="B67" s="287">
        <v>683</v>
      </c>
      <c r="C67" s="304" t="s">
        <v>54</v>
      </c>
      <c r="D67" s="305">
        <f>D68</f>
        <v>712.71</v>
      </c>
      <c r="E67" s="305">
        <f>E68</f>
        <v>3000</v>
      </c>
      <c r="F67" s="790">
        <f t="shared" ref="F67:G68" si="19">F68</f>
        <v>3000</v>
      </c>
      <c r="G67" s="790">
        <f t="shared" si="19"/>
        <v>0</v>
      </c>
    </row>
    <row r="68" spans="1:7" x14ac:dyDescent="0.25">
      <c r="A68" s="287"/>
      <c r="B68" s="287">
        <v>6831</v>
      </c>
      <c r="C68" s="304" t="s">
        <v>54</v>
      </c>
      <c r="D68" s="305">
        <f>D69</f>
        <v>712.71</v>
      </c>
      <c r="E68" s="305">
        <f>E69</f>
        <v>3000</v>
      </c>
      <c r="F68" s="790">
        <f t="shared" si="19"/>
        <v>3000</v>
      </c>
      <c r="G68" s="790">
        <f t="shared" si="19"/>
        <v>0</v>
      </c>
    </row>
    <row r="69" spans="1:7" x14ac:dyDescent="0.25">
      <c r="A69" s="287"/>
      <c r="B69" s="302">
        <v>68311</v>
      </c>
      <c r="C69" s="303" t="s">
        <v>54</v>
      </c>
      <c r="D69" s="298">
        <f>'Prihodi po ek klas i izvorima'!E56</f>
        <v>712.71</v>
      </c>
      <c r="E69" s="298">
        <f>'Prihodi po ek klas i izvorima'!F56</f>
        <v>3000</v>
      </c>
      <c r="F69" s="789">
        <f>'Prihodi po ek klas i izvorima'!G56</f>
        <v>3000</v>
      </c>
      <c r="G69" s="789">
        <f>'Prihodi po ek klas i izvorima'!H56</f>
        <v>0</v>
      </c>
    </row>
    <row r="70" spans="1:7" x14ac:dyDescent="0.25">
      <c r="A70" s="284">
        <v>7</v>
      </c>
      <c r="B70" s="284"/>
      <c r="C70" s="320" t="s">
        <v>75</v>
      </c>
      <c r="D70" s="321">
        <f>SUM(D71)</f>
        <v>0</v>
      </c>
      <c r="E70" s="321">
        <f>SUM(E71)</f>
        <v>0</v>
      </c>
      <c r="F70" s="794">
        <f>SUM(F71)</f>
        <v>800</v>
      </c>
      <c r="G70" s="794">
        <f>SUM(G71)</f>
        <v>800</v>
      </c>
    </row>
    <row r="71" spans="1:7" s="306" customFormat="1" ht="19.5" customHeight="1" x14ac:dyDescent="0.25">
      <c r="A71" s="287"/>
      <c r="B71" s="310">
        <v>72</v>
      </c>
      <c r="C71" s="322" t="s">
        <v>76</v>
      </c>
      <c r="D71" s="312">
        <f>SUM(D72,D74)</f>
        <v>0</v>
      </c>
      <c r="E71" s="312">
        <f>SUM(E72,E74)</f>
        <v>0</v>
      </c>
      <c r="F71" s="791">
        <f>SUM(F72,F74)</f>
        <v>800</v>
      </c>
      <c r="G71" s="791">
        <f>SUM(G72,G74)</f>
        <v>800</v>
      </c>
    </row>
    <row r="72" spans="1:7" x14ac:dyDescent="0.25">
      <c r="A72" s="287"/>
      <c r="B72" s="287">
        <v>721</v>
      </c>
      <c r="C72" s="304" t="s">
        <v>77</v>
      </c>
      <c r="D72" s="305">
        <f>D73</f>
        <v>0</v>
      </c>
      <c r="E72" s="305">
        <f>E73</f>
        <v>0</v>
      </c>
      <c r="F72" s="790">
        <f>F73</f>
        <v>0</v>
      </c>
      <c r="G72" s="790">
        <f>G73</f>
        <v>0</v>
      </c>
    </row>
    <row r="73" spans="1:7" x14ac:dyDescent="0.25">
      <c r="A73" s="287"/>
      <c r="B73" s="287">
        <v>7211</v>
      </c>
      <c r="C73" s="304" t="s">
        <v>78</v>
      </c>
      <c r="D73" s="305">
        <f>'Prihodi po ek klas i izvorima'!E90</f>
        <v>0</v>
      </c>
      <c r="E73" s="305">
        <f>'Prihodi po ek klas i izvorima'!F90</f>
        <v>0</v>
      </c>
      <c r="F73" s="790">
        <v>0</v>
      </c>
      <c r="G73" s="790">
        <v>0</v>
      </c>
    </row>
    <row r="74" spans="1:7" s="291" customFormat="1" x14ac:dyDescent="0.25">
      <c r="A74" s="287"/>
      <c r="B74" s="287">
        <v>723</v>
      </c>
      <c r="C74" s="304" t="s">
        <v>79</v>
      </c>
      <c r="D74" s="305">
        <f>D75</f>
        <v>0</v>
      </c>
      <c r="E74" s="305">
        <f>E75</f>
        <v>0</v>
      </c>
      <c r="F74" s="790">
        <f>F75</f>
        <v>800</v>
      </c>
      <c r="G74" s="790">
        <f>G75</f>
        <v>800</v>
      </c>
    </row>
    <row r="75" spans="1:7" x14ac:dyDescent="0.25">
      <c r="A75" s="287"/>
      <c r="B75" s="287">
        <v>7231</v>
      </c>
      <c r="C75" s="304" t="s">
        <v>80</v>
      </c>
      <c r="D75" s="305">
        <f>'Prihodi po ek klas i izvorima'!E92</f>
        <v>0</v>
      </c>
      <c r="E75" s="305">
        <f>'Prihodi po ek klas i izvorima'!F92</f>
        <v>0</v>
      </c>
      <c r="F75" s="790">
        <f>F76</f>
        <v>800</v>
      </c>
      <c r="G75" s="790">
        <f>G76</f>
        <v>800</v>
      </c>
    </row>
    <row r="76" spans="1:7" x14ac:dyDescent="0.25">
      <c r="A76" s="379"/>
      <c r="B76" s="287">
        <v>72313</v>
      </c>
      <c r="C76" s="812" t="s">
        <v>612</v>
      </c>
      <c r="D76" s="789">
        <f>'Prihodi po ek klas i izvorima'!E93</f>
        <v>0</v>
      </c>
      <c r="E76" s="789">
        <f>'Prihodi po ek klas i izvorima'!F93</f>
        <v>0</v>
      </c>
      <c r="F76" s="789">
        <f>'Prihodi po ek klas i izvorima'!G93</f>
        <v>800</v>
      </c>
      <c r="G76" s="789">
        <f>'Prihodi po ek klas i izvorima'!H93</f>
        <v>800</v>
      </c>
    </row>
    <row r="77" spans="1:7" ht="18.75" x14ac:dyDescent="0.25">
      <c r="A77" s="901" t="s">
        <v>262</v>
      </c>
      <c r="B77" s="902"/>
      <c r="C77" s="903"/>
      <c r="D77" s="323">
        <f>D10+D70</f>
        <v>2228337.5499999998</v>
      </c>
      <c r="E77" s="323">
        <f>E10+E70</f>
        <v>4702255.6300000008</v>
      </c>
      <c r="F77" s="795">
        <f>F10+F70</f>
        <v>4988957.92</v>
      </c>
      <c r="G77" s="795">
        <f>G10+G70</f>
        <v>2608890.31</v>
      </c>
    </row>
  </sheetData>
  <mergeCells count="6">
    <mergeCell ref="A77:C77"/>
    <mergeCell ref="A2:G2"/>
    <mergeCell ref="A4:G4"/>
    <mergeCell ref="A6:G6"/>
    <mergeCell ref="B7:G7"/>
    <mergeCell ref="A8:G8"/>
  </mergeCells>
  <pageMargins left="0.7" right="0.7" top="0.75" bottom="0.75" header="0.3" footer="0.3"/>
  <pageSetup paperSize="9" scale="8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50"/>
  <sheetViews>
    <sheetView workbookViewId="0">
      <selection activeCell="D88" sqref="D88"/>
    </sheetView>
  </sheetViews>
  <sheetFormatPr defaultRowHeight="12.75" x14ac:dyDescent="0.2"/>
  <cols>
    <col min="1" max="1" width="9.140625" style="348"/>
    <col min="2" max="2" width="9.140625" style="370"/>
    <col min="3" max="3" width="59.42578125" style="370" bestFit="1" customWidth="1"/>
    <col min="4" max="4" width="25.5703125" style="370" bestFit="1" customWidth="1"/>
    <col min="5" max="5" width="21.85546875" style="371" bestFit="1" customWidth="1"/>
    <col min="6" max="6" width="20.28515625" style="371" bestFit="1" customWidth="1"/>
    <col min="7" max="7" width="21.85546875" style="370" bestFit="1" customWidth="1"/>
    <col min="8" max="256" width="9.140625" style="347"/>
    <col min="257" max="257" width="55.28515625" style="347" bestFit="1" customWidth="1"/>
    <col min="258" max="258" width="0" style="347" hidden="1" customWidth="1"/>
    <col min="259" max="259" width="21.85546875" style="347" bestFit="1" customWidth="1"/>
    <col min="260" max="260" width="0" style="347" hidden="1" customWidth="1"/>
    <col min="261" max="261" width="21.42578125" style="347" customWidth="1"/>
    <col min="262" max="262" width="10" style="347" bestFit="1" customWidth="1"/>
    <col min="263" max="263" width="0" style="347" hidden="1" customWidth="1"/>
    <col min="264" max="512" width="9.140625" style="347"/>
    <col min="513" max="513" width="55.28515625" style="347" bestFit="1" customWidth="1"/>
    <col min="514" max="514" width="0" style="347" hidden="1" customWidth="1"/>
    <col min="515" max="515" width="21.85546875" style="347" bestFit="1" customWidth="1"/>
    <col min="516" max="516" width="0" style="347" hidden="1" customWidth="1"/>
    <col min="517" max="517" width="21.42578125" style="347" customWidth="1"/>
    <col min="518" max="518" width="10" style="347" bestFit="1" customWidth="1"/>
    <col min="519" max="519" width="0" style="347" hidden="1" customWidth="1"/>
    <col min="520" max="768" width="9.140625" style="347"/>
    <col min="769" max="769" width="55.28515625" style="347" bestFit="1" customWidth="1"/>
    <col min="770" max="770" width="0" style="347" hidden="1" customWidth="1"/>
    <col min="771" max="771" width="21.85546875" style="347" bestFit="1" customWidth="1"/>
    <col min="772" max="772" width="0" style="347" hidden="1" customWidth="1"/>
    <col min="773" max="773" width="21.42578125" style="347" customWidth="1"/>
    <col min="774" max="774" width="10" style="347" bestFit="1" customWidth="1"/>
    <col min="775" max="775" width="0" style="347" hidden="1" customWidth="1"/>
    <col min="776" max="1024" width="9.140625" style="347"/>
    <col min="1025" max="1025" width="55.28515625" style="347" bestFit="1" customWidth="1"/>
    <col min="1026" max="1026" width="0" style="347" hidden="1" customWidth="1"/>
    <col min="1027" max="1027" width="21.85546875" style="347" bestFit="1" customWidth="1"/>
    <col min="1028" max="1028" width="0" style="347" hidden="1" customWidth="1"/>
    <col min="1029" max="1029" width="21.42578125" style="347" customWidth="1"/>
    <col min="1030" max="1030" width="10" style="347" bestFit="1" customWidth="1"/>
    <col min="1031" max="1031" width="0" style="347" hidden="1" customWidth="1"/>
    <col min="1032" max="1280" width="9.140625" style="347"/>
    <col min="1281" max="1281" width="55.28515625" style="347" bestFit="1" customWidth="1"/>
    <col min="1282" max="1282" width="0" style="347" hidden="1" customWidth="1"/>
    <col min="1283" max="1283" width="21.85546875" style="347" bestFit="1" customWidth="1"/>
    <col min="1284" max="1284" width="0" style="347" hidden="1" customWidth="1"/>
    <col min="1285" max="1285" width="21.42578125" style="347" customWidth="1"/>
    <col min="1286" max="1286" width="10" style="347" bestFit="1" customWidth="1"/>
    <col min="1287" max="1287" width="0" style="347" hidden="1" customWidth="1"/>
    <col min="1288" max="1536" width="9.140625" style="347"/>
    <col min="1537" max="1537" width="55.28515625" style="347" bestFit="1" customWidth="1"/>
    <col min="1538" max="1538" width="0" style="347" hidden="1" customWidth="1"/>
    <col min="1539" max="1539" width="21.85546875" style="347" bestFit="1" customWidth="1"/>
    <col min="1540" max="1540" width="0" style="347" hidden="1" customWidth="1"/>
    <col min="1541" max="1541" width="21.42578125" style="347" customWidth="1"/>
    <col min="1542" max="1542" width="10" style="347" bestFit="1" customWidth="1"/>
    <col min="1543" max="1543" width="0" style="347" hidden="1" customWidth="1"/>
    <col min="1544" max="1792" width="9.140625" style="347"/>
    <col min="1793" max="1793" width="55.28515625" style="347" bestFit="1" customWidth="1"/>
    <col min="1794" max="1794" width="0" style="347" hidden="1" customWidth="1"/>
    <col min="1795" max="1795" width="21.85546875" style="347" bestFit="1" customWidth="1"/>
    <col min="1796" max="1796" width="0" style="347" hidden="1" customWidth="1"/>
    <col min="1797" max="1797" width="21.42578125" style="347" customWidth="1"/>
    <col min="1798" max="1798" width="10" style="347" bestFit="1" customWidth="1"/>
    <col min="1799" max="1799" width="0" style="347" hidden="1" customWidth="1"/>
    <col min="1800" max="2048" width="9.140625" style="347"/>
    <col min="2049" max="2049" width="55.28515625" style="347" bestFit="1" customWidth="1"/>
    <col min="2050" max="2050" width="0" style="347" hidden="1" customWidth="1"/>
    <col min="2051" max="2051" width="21.85546875" style="347" bestFit="1" customWidth="1"/>
    <col min="2052" max="2052" width="0" style="347" hidden="1" customWidth="1"/>
    <col min="2053" max="2053" width="21.42578125" style="347" customWidth="1"/>
    <col min="2054" max="2054" width="10" style="347" bestFit="1" customWidth="1"/>
    <col min="2055" max="2055" width="0" style="347" hidden="1" customWidth="1"/>
    <col min="2056" max="2304" width="9.140625" style="347"/>
    <col min="2305" max="2305" width="55.28515625" style="347" bestFit="1" customWidth="1"/>
    <col min="2306" max="2306" width="0" style="347" hidden="1" customWidth="1"/>
    <col min="2307" max="2307" width="21.85546875" style="347" bestFit="1" customWidth="1"/>
    <col min="2308" max="2308" width="0" style="347" hidden="1" customWidth="1"/>
    <col min="2309" max="2309" width="21.42578125" style="347" customWidth="1"/>
    <col min="2310" max="2310" width="10" style="347" bestFit="1" customWidth="1"/>
    <col min="2311" max="2311" width="0" style="347" hidden="1" customWidth="1"/>
    <col min="2312" max="2560" width="9.140625" style="347"/>
    <col min="2561" max="2561" width="55.28515625" style="347" bestFit="1" customWidth="1"/>
    <col min="2562" max="2562" width="0" style="347" hidden="1" customWidth="1"/>
    <col min="2563" max="2563" width="21.85546875" style="347" bestFit="1" customWidth="1"/>
    <col min="2564" max="2564" width="0" style="347" hidden="1" customWidth="1"/>
    <col min="2565" max="2565" width="21.42578125" style="347" customWidth="1"/>
    <col min="2566" max="2566" width="10" style="347" bestFit="1" customWidth="1"/>
    <col min="2567" max="2567" width="0" style="347" hidden="1" customWidth="1"/>
    <col min="2568" max="2816" width="9.140625" style="347"/>
    <col min="2817" max="2817" width="55.28515625" style="347" bestFit="1" customWidth="1"/>
    <col min="2818" max="2818" width="0" style="347" hidden="1" customWidth="1"/>
    <col min="2819" max="2819" width="21.85546875" style="347" bestFit="1" customWidth="1"/>
    <col min="2820" max="2820" width="0" style="347" hidden="1" customWidth="1"/>
    <col min="2821" max="2821" width="21.42578125" style="347" customWidth="1"/>
    <col min="2822" max="2822" width="10" style="347" bestFit="1" customWidth="1"/>
    <col min="2823" max="2823" width="0" style="347" hidden="1" customWidth="1"/>
    <col min="2824" max="3072" width="9.140625" style="347"/>
    <col min="3073" max="3073" width="55.28515625" style="347" bestFit="1" customWidth="1"/>
    <col min="3074" max="3074" width="0" style="347" hidden="1" customWidth="1"/>
    <col min="3075" max="3075" width="21.85546875" style="347" bestFit="1" customWidth="1"/>
    <col min="3076" max="3076" width="0" style="347" hidden="1" customWidth="1"/>
    <col min="3077" max="3077" width="21.42578125" style="347" customWidth="1"/>
    <col min="3078" max="3078" width="10" style="347" bestFit="1" customWidth="1"/>
    <col min="3079" max="3079" width="0" style="347" hidden="1" customWidth="1"/>
    <col min="3080" max="3328" width="9.140625" style="347"/>
    <col min="3329" max="3329" width="55.28515625" style="347" bestFit="1" customWidth="1"/>
    <col min="3330" max="3330" width="0" style="347" hidden="1" customWidth="1"/>
    <col min="3331" max="3331" width="21.85546875" style="347" bestFit="1" customWidth="1"/>
    <col min="3332" max="3332" width="0" style="347" hidden="1" customWidth="1"/>
    <col min="3333" max="3333" width="21.42578125" style="347" customWidth="1"/>
    <col min="3334" max="3334" width="10" style="347" bestFit="1" customWidth="1"/>
    <col min="3335" max="3335" width="0" style="347" hidden="1" customWidth="1"/>
    <col min="3336" max="3584" width="9.140625" style="347"/>
    <col min="3585" max="3585" width="55.28515625" style="347" bestFit="1" customWidth="1"/>
    <col min="3586" max="3586" width="0" style="347" hidden="1" customWidth="1"/>
    <col min="3587" max="3587" width="21.85546875" style="347" bestFit="1" customWidth="1"/>
    <col min="3588" max="3588" width="0" style="347" hidden="1" customWidth="1"/>
    <col min="3589" max="3589" width="21.42578125" style="347" customWidth="1"/>
    <col min="3590" max="3590" width="10" style="347" bestFit="1" customWidth="1"/>
    <col min="3591" max="3591" width="0" style="347" hidden="1" customWidth="1"/>
    <col min="3592" max="3840" width="9.140625" style="347"/>
    <col min="3841" max="3841" width="55.28515625" style="347" bestFit="1" customWidth="1"/>
    <col min="3842" max="3842" width="0" style="347" hidden="1" customWidth="1"/>
    <col min="3843" max="3843" width="21.85546875" style="347" bestFit="1" customWidth="1"/>
    <col min="3844" max="3844" width="0" style="347" hidden="1" customWidth="1"/>
    <col min="3845" max="3845" width="21.42578125" style="347" customWidth="1"/>
    <col min="3846" max="3846" width="10" style="347" bestFit="1" customWidth="1"/>
    <col min="3847" max="3847" width="0" style="347" hidden="1" customWidth="1"/>
    <col min="3848" max="4096" width="9.140625" style="347"/>
    <col min="4097" max="4097" width="55.28515625" style="347" bestFit="1" customWidth="1"/>
    <col min="4098" max="4098" width="0" style="347" hidden="1" customWidth="1"/>
    <col min="4099" max="4099" width="21.85546875" style="347" bestFit="1" customWidth="1"/>
    <col min="4100" max="4100" width="0" style="347" hidden="1" customWidth="1"/>
    <col min="4101" max="4101" width="21.42578125" style="347" customWidth="1"/>
    <col min="4102" max="4102" width="10" style="347" bestFit="1" customWidth="1"/>
    <col min="4103" max="4103" width="0" style="347" hidden="1" customWidth="1"/>
    <col min="4104" max="4352" width="9.140625" style="347"/>
    <col min="4353" max="4353" width="55.28515625" style="347" bestFit="1" customWidth="1"/>
    <col min="4354" max="4354" width="0" style="347" hidden="1" customWidth="1"/>
    <col min="4355" max="4355" width="21.85546875" style="347" bestFit="1" customWidth="1"/>
    <col min="4356" max="4356" width="0" style="347" hidden="1" customWidth="1"/>
    <col min="4357" max="4357" width="21.42578125" style="347" customWidth="1"/>
    <col min="4358" max="4358" width="10" style="347" bestFit="1" customWidth="1"/>
    <col min="4359" max="4359" width="0" style="347" hidden="1" customWidth="1"/>
    <col min="4360" max="4608" width="9.140625" style="347"/>
    <col min="4609" max="4609" width="55.28515625" style="347" bestFit="1" customWidth="1"/>
    <col min="4610" max="4610" width="0" style="347" hidden="1" customWidth="1"/>
    <col min="4611" max="4611" width="21.85546875" style="347" bestFit="1" customWidth="1"/>
    <col min="4612" max="4612" width="0" style="347" hidden="1" customWidth="1"/>
    <col min="4613" max="4613" width="21.42578125" style="347" customWidth="1"/>
    <col min="4614" max="4614" width="10" style="347" bestFit="1" customWidth="1"/>
    <col min="4615" max="4615" width="0" style="347" hidden="1" customWidth="1"/>
    <col min="4616" max="4864" width="9.140625" style="347"/>
    <col min="4865" max="4865" width="55.28515625" style="347" bestFit="1" customWidth="1"/>
    <col min="4866" max="4866" width="0" style="347" hidden="1" customWidth="1"/>
    <col min="4867" max="4867" width="21.85546875" style="347" bestFit="1" customWidth="1"/>
    <col min="4868" max="4868" width="0" style="347" hidden="1" customWidth="1"/>
    <col min="4869" max="4869" width="21.42578125" style="347" customWidth="1"/>
    <col min="4870" max="4870" width="10" style="347" bestFit="1" customWidth="1"/>
    <col min="4871" max="4871" width="0" style="347" hidden="1" customWidth="1"/>
    <col min="4872" max="5120" width="9.140625" style="347"/>
    <col min="5121" max="5121" width="55.28515625" style="347" bestFit="1" customWidth="1"/>
    <col min="5122" max="5122" width="0" style="347" hidden="1" customWidth="1"/>
    <col min="5123" max="5123" width="21.85546875" style="347" bestFit="1" customWidth="1"/>
    <col min="5124" max="5124" width="0" style="347" hidden="1" customWidth="1"/>
    <col min="5125" max="5125" width="21.42578125" style="347" customWidth="1"/>
    <col min="5126" max="5126" width="10" style="347" bestFit="1" customWidth="1"/>
    <col min="5127" max="5127" width="0" style="347" hidden="1" customWidth="1"/>
    <col min="5128" max="5376" width="9.140625" style="347"/>
    <col min="5377" max="5377" width="55.28515625" style="347" bestFit="1" customWidth="1"/>
    <col min="5378" max="5378" width="0" style="347" hidden="1" customWidth="1"/>
    <col min="5379" max="5379" width="21.85546875" style="347" bestFit="1" customWidth="1"/>
    <col min="5380" max="5380" width="0" style="347" hidden="1" customWidth="1"/>
    <col min="5381" max="5381" width="21.42578125" style="347" customWidth="1"/>
    <col min="5382" max="5382" width="10" style="347" bestFit="1" customWidth="1"/>
    <col min="5383" max="5383" width="0" style="347" hidden="1" customWidth="1"/>
    <col min="5384" max="5632" width="9.140625" style="347"/>
    <col min="5633" max="5633" width="55.28515625" style="347" bestFit="1" customWidth="1"/>
    <col min="5634" max="5634" width="0" style="347" hidden="1" customWidth="1"/>
    <col min="5635" max="5635" width="21.85546875" style="347" bestFit="1" customWidth="1"/>
    <col min="5636" max="5636" width="0" style="347" hidden="1" customWidth="1"/>
    <col min="5637" max="5637" width="21.42578125" style="347" customWidth="1"/>
    <col min="5638" max="5638" width="10" style="347" bestFit="1" customWidth="1"/>
    <col min="5639" max="5639" width="0" style="347" hidden="1" customWidth="1"/>
    <col min="5640" max="5888" width="9.140625" style="347"/>
    <col min="5889" max="5889" width="55.28515625" style="347" bestFit="1" customWidth="1"/>
    <col min="5890" max="5890" width="0" style="347" hidden="1" customWidth="1"/>
    <col min="5891" max="5891" width="21.85546875" style="347" bestFit="1" customWidth="1"/>
    <col min="5892" max="5892" width="0" style="347" hidden="1" customWidth="1"/>
    <col min="5893" max="5893" width="21.42578125" style="347" customWidth="1"/>
    <col min="5894" max="5894" width="10" style="347" bestFit="1" customWidth="1"/>
    <col min="5895" max="5895" width="0" style="347" hidden="1" customWidth="1"/>
    <col min="5896" max="6144" width="9.140625" style="347"/>
    <col min="6145" max="6145" width="55.28515625" style="347" bestFit="1" customWidth="1"/>
    <col min="6146" max="6146" width="0" style="347" hidden="1" customWidth="1"/>
    <col min="6147" max="6147" width="21.85546875" style="347" bestFit="1" customWidth="1"/>
    <col min="6148" max="6148" width="0" style="347" hidden="1" customWidth="1"/>
    <col min="6149" max="6149" width="21.42578125" style="347" customWidth="1"/>
    <col min="6150" max="6150" width="10" style="347" bestFit="1" customWidth="1"/>
    <col min="6151" max="6151" width="0" style="347" hidden="1" customWidth="1"/>
    <col min="6152" max="6400" width="9.140625" style="347"/>
    <col min="6401" max="6401" width="55.28515625" style="347" bestFit="1" customWidth="1"/>
    <col min="6402" max="6402" width="0" style="347" hidden="1" customWidth="1"/>
    <col min="6403" max="6403" width="21.85546875" style="347" bestFit="1" customWidth="1"/>
    <col min="6404" max="6404" width="0" style="347" hidden="1" customWidth="1"/>
    <col min="6405" max="6405" width="21.42578125" style="347" customWidth="1"/>
    <col min="6406" max="6406" width="10" style="347" bestFit="1" customWidth="1"/>
    <col min="6407" max="6407" width="0" style="347" hidden="1" customWidth="1"/>
    <col min="6408" max="6656" width="9.140625" style="347"/>
    <col min="6657" max="6657" width="55.28515625" style="347" bestFit="1" customWidth="1"/>
    <col min="6658" max="6658" width="0" style="347" hidden="1" customWidth="1"/>
    <col min="6659" max="6659" width="21.85546875" style="347" bestFit="1" customWidth="1"/>
    <col min="6660" max="6660" width="0" style="347" hidden="1" customWidth="1"/>
    <col min="6661" max="6661" width="21.42578125" style="347" customWidth="1"/>
    <col min="6662" max="6662" width="10" style="347" bestFit="1" customWidth="1"/>
    <col min="6663" max="6663" width="0" style="347" hidden="1" customWidth="1"/>
    <col min="6664" max="6912" width="9.140625" style="347"/>
    <col min="6913" max="6913" width="55.28515625" style="347" bestFit="1" customWidth="1"/>
    <col min="6914" max="6914" width="0" style="347" hidden="1" customWidth="1"/>
    <col min="6915" max="6915" width="21.85546875" style="347" bestFit="1" customWidth="1"/>
    <col min="6916" max="6916" width="0" style="347" hidden="1" customWidth="1"/>
    <col min="6917" max="6917" width="21.42578125" style="347" customWidth="1"/>
    <col min="6918" max="6918" width="10" style="347" bestFit="1" customWidth="1"/>
    <col min="6919" max="6919" width="0" style="347" hidden="1" customWidth="1"/>
    <col min="6920" max="7168" width="9.140625" style="347"/>
    <col min="7169" max="7169" width="55.28515625" style="347" bestFit="1" customWidth="1"/>
    <col min="7170" max="7170" width="0" style="347" hidden="1" customWidth="1"/>
    <col min="7171" max="7171" width="21.85546875" style="347" bestFit="1" customWidth="1"/>
    <col min="7172" max="7172" width="0" style="347" hidden="1" customWidth="1"/>
    <col min="7173" max="7173" width="21.42578125" style="347" customWidth="1"/>
    <col min="7174" max="7174" width="10" style="347" bestFit="1" customWidth="1"/>
    <col min="7175" max="7175" width="0" style="347" hidden="1" customWidth="1"/>
    <col min="7176" max="7424" width="9.140625" style="347"/>
    <col min="7425" max="7425" width="55.28515625" style="347" bestFit="1" customWidth="1"/>
    <col min="7426" max="7426" width="0" style="347" hidden="1" customWidth="1"/>
    <col min="7427" max="7427" width="21.85546875" style="347" bestFit="1" customWidth="1"/>
    <col min="7428" max="7428" width="0" style="347" hidden="1" customWidth="1"/>
    <col min="7429" max="7429" width="21.42578125" style="347" customWidth="1"/>
    <col min="7430" max="7430" width="10" style="347" bestFit="1" customWidth="1"/>
    <col min="7431" max="7431" width="0" style="347" hidden="1" customWidth="1"/>
    <col min="7432" max="7680" width="9.140625" style="347"/>
    <col min="7681" max="7681" width="55.28515625" style="347" bestFit="1" customWidth="1"/>
    <col min="7682" max="7682" width="0" style="347" hidden="1" customWidth="1"/>
    <col min="7683" max="7683" width="21.85546875" style="347" bestFit="1" customWidth="1"/>
    <col min="7684" max="7684" width="0" style="347" hidden="1" customWidth="1"/>
    <col min="7685" max="7685" width="21.42578125" style="347" customWidth="1"/>
    <col min="7686" max="7686" width="10" style="347" bestFit="1" customWidth="1"/>
    <col min="7687" max="7687" width="0" style="347" hidden="1" customWidth="1"/>
    <col min="7688" max="7936" width="9.140625" style="347"/>
    <col min="7937" max="7937" width="55.28515625" style="347" bestFit="1" customWidth="1"/>
    <col min="7938" max="7938" width="0" style="347" hidden="1" customWidth="1"/>
    <col min="7939" max="7939" width="21.85546875" style="347" bestFit="1" customWidth="1"/>
    <col min="7940" max="7940" width="0" style="347" hidden="1" customWidth="1"/>
    <col min="7941" max="7941" width="21.42578125" style="347" customWidth="1"/>
    <col min="7942" max="7942" width="10" style="347" bestFit="1" customWidth="1"/>
    <col min="7943" max="7943" width="0" style="347" hidden="1" customWidth="1"/>
    <col min="7944" max="8192" width="9.140625" style="347"/>
    <col min="8193" max="8193" width="55.28515625" style="347" bestFit="1" customWidth="1"/>
    <col min="8194" max="8194" width="0" style="347" hidden="1" customWidth="1"/>
    <col min="8195" max="8195" width="21.85546875" style="347" bestFit="1" customWidth="1"/>
    <col min="8196" max="8196" width="0" style="347" hidden="1" customWidth="1"/>
    <col min="8197" max="8197" width="21.42578125" style="347" customWidth="1"/>
    <col min="8198" max="8198" width="10" style="347" bestFit="1" customWidth="1"/>
    <col min="8199" max="8199" width="0" style="347" hidden="1" customWidth="1"/>
    <col min="8200" max="8448" width="9.140625" style="347"/>
    <col min="8449" max="8449" width="55.28515625" style="347" bestFit="1" customWidth="1"/>
    <col min="8450" max="8450" width="0" style="347" hidden="1" customWidth="1"/>
    <col min="8451" max="8451" width="21.85546875" style="347" bestFit="1" customWidth="1"/>
    <col min="8452" max="8452" width="0" style="347" hidden="1" customWidth="1"/>
    <col min="8453" max="8453" width="21.42578125" style="347" customWidth="1"/>
    <col min="8454" max="8454" width="10" style="347" bestFit="1" customWidth="1"/>
    <col min="8455" max="8455" width="0" style="347" hidden="1" customWidth="1"/>
    <col min="8456" max="8704" width="9.140625" style="347"/>
    <col min="8705" max="8705" width="55.28515625" style="347" bestFit="1" customWidth="1"/>
    <col min="8706" max="8706" width="0" style="347" hidden="1" customWidth="1"/>
    <col min="8707" max="8707" width="21.85546875" style="347" bestFit="1" customWidth="1"/>
    <col min="8708" max="8708" width="0" style="347" hidden="1" customWidth="1"/>
    <col min="8709" max="8709" width="21.42578125" style="347" customWidth="1"/>
    <col min="8710" max="8710" width="10" style="347" bestFit="1" customWidth="1"/>
    <col min="8711" max="8711" width="0" style="347" hidden="1" customWidth="1"/>
    <col min="8712" max="8960" width="9.140625" style="347"/>
    <col min="8961" max="8961" width="55.28515625" style="347" bestFit="1" customWidth="1"/>
    <col min="8962" max="8962" width="0" style="347" hidden="1" customWidth="1"/>
    <col min="8963" max="8963" width="21.85546875" style="347" bestFit="1" customWidth="1"/>
    <col min="8964" max="8964" width="0" style="347" hidden="1" customWidth="1"/>
    <col min="8965" max="8965" width="21.42578125" style="347" customWidth="1"/>
    <col min="8966" max="8966" width="10" style="347" bestFit="1" customWidth="1"/>
    <col min="8967" max="8967" width="0" style="347" hidden="1" customWidth="1"/>
    <col min="8968" max="9216" width="9.140625" style="347"/>
    <col min="9217" max="9217" width="55.28515625" style="347" bestFit="1" customWidth="1"/>
    <col min="9218" max="9218" width="0" style="347" hidden="1" customWidth="1"/>
    <col min="9219" max="9219" width="21.85546875" style="347" bestFit="1" customWidth="1"/>
    <col min="9220" max="9220" width="0" style="347" hidden="1" customWidth="1"/>
    <col min="9221" max="9221" width="21.42578125" style="347" customWidth="1"/>
    <col min="9222" max="9222" width="10" style="347" bestFit="1" customWidth="1"/>
    <col min="9223" max="9223" width="0" style="347" hidden="1" customWidth="1"/>
    <col min="9224" max="9472" width="9.140625" style="347"/>
    <col min="9473" max="9473" width="55.28515625" style="347" bestFit="1" customWidth="1"/>
    <col min="9474" max="9474" width="0" style="347" hidden="1" customWidth="1"/>
    <col min="9475" max="9475" width="21.85546875" style="347" bestFit="1" customWidth="1"/>
    <col min="9476" max="9476" width="0" style="347" hidden="1" customWidth="1"/>
    <col min="9477" max="9477" width="21.42578125" style="347" customWidth="1"/>
    <col min="9478" max="9478" width="10" style="347" bestFit="1" customWidth="1"/>
    <col min="9479" max="9479" width="0" style="347" hidden="1" customWidth="1"/>
    <col min="9480" max="9728" width="9.140625" style="347"/>
    <col min="9729" max="9729" width="55.28515625" style="347" bestFit="1" customWidth="1"/>
    <col min="9730" max="9730" width="0" style="347" hidden="1" customWidth="1"/>
    <col min="9731" max="9731" width="21.85546875" style="347" bestFit="1" customWidth="1"/>
    <col min="9732" max="9732" width="0" style="347" hidden="1" customWidth="1"/>
    <col min="9733" max="9733" width="21.42578125" style="347" customWidth="1"/>
    <col min="9734" max="9734" width="10" style="347" bestFit="1" customWidth="1"/>
    <col min="9735" max="9735" width="0" style="347" hidden="1" customWidth="1"/>
    <col min="9736" max="9984" width="9.140625" style="347"/>
    <col min="9985" max="9985" width="55.28515625" style="347" bestFit="1" customWidth="1"/>
    <col min="9986" max="9986" width="0" style="347" hidden="1" customWidth="1"/>
    <col min="9987" max="9987" width="21.85546875" style="347" bestFit="1" customWidth="1"/>
    <col min="9988" max="9988" width="0" style="347" hidden="1" customWidth="1"/>
    <col min="9989" max="9989" width="21.42578125" style="347" customWidth="1"/>
    <col min="9990" max="9990" width="10" style="347" bestFit="1" customWidth="1"/>
    <col min="9991" max="9991" width="0" style="347" hidden="1" customWidth="1"/>
    <col min="9992" max="10240" width="9.140625" style="347"/>
    <col min="10241" max="10241" width="55.28515625" style="347" bestFit="1" customWidth="1"/>
    <col min="10242" max="10242" width="0" style="347" hidden="1" customWidth="1"/>
    <col min="10243" max="10243" width="21.85546875" style="347" bestFit="1" customWidth="1"/>
    <col min="10244" max="10244" width="0" style="347" hidden="1" customWidth="1"/>
    <col min="10245" max="10245" width="21.42578125" style="347" customWidth="1"/>
    <col min="10246" max="10246" width="10" style="347" bestFit="1" customWidth="1"/>
    <col min="10247" max="10247" width="0" style="347" hidden="1" customWidth="1"/>
    <col min="10248" max="10496" width="9.140625" style="347"/>
    <col min="10497" max="10497" width="55.28515625" style="347" bestFit="1" customWidth="1"/>
    <col min="10498" max="10498" width="0" style="347" hidden="1" customWidth="1"/>
    <col min="10499" max="10499" width="21.85546875" style="347" bestFit="1" customWidth="1"/>
    <col min="10500" max="10500" width="0" style="347" hidden="1" customWidth="1"/>
    <col min="10501" max="10501" width="21.42578125" style="347" customWidth="1"/>
    <col min="10502" max="10502" width="10" style="347" bestFit="1" customWidth="1"/>
    <col min="10503" max="10503" width="0" style="347" hidden="1" customWidth="1"/>
    <col min="10504" max="10752" width="9.140625" style="347"/>
    <col min="10753" max="10753" width="55.28515625" style="347" bestFit="1" customWidth="1"/>
    <col min="10754" max="10754" width="0" style="347" hidden="1" customWidth="1"/>
    <col min="10755" max="10755" width="21.85546875" style="347" bestFit="1" customWidth="1"/>
    <col min="10756" max="10756" width="0" style="347" hidden="1" customWidth="1"/>
    <col min="10757" max="10757" width="21.42578125" style="347" customWidth="1"/>
    <col min="10758" max="10758" width="10" style="347" bestFit="1" customWidth="1"/>
    <col min="10759" max="10759" width="0" style="347" hidden="1" customWidth="1"/>
    <col min="10760" max="11008" width="9.140625" style="347"/>
    <col min="11009" max="11009" width="55.28515625" style="347" bestFit="1" customWidth="1"/>
    <col min="11010" max="11010" width="0" style="347" hidden="1" customWidth="1"/>
    <col min="11011" max="11011" width="21.85546875" style="347" bestFit="1" customWidth="1"/>
    <col min="11012" max="11012" width="0" style="347" hidden="1" customWidth="1"/>
    <col min="11013" max="11013" width="21.42578125" style="347" customWidth="1"/>
    <col min="11014" max="11014" width="10" style="347" bestFit="1" customWidth="1"/>
    <col min="11015" max="11015" width="0" style="347" hidden="1" customWidth="1"/>
    <col min="11016" max="11264" width="9.140625" style="347"/>
    <col min="11265" max="11265" width="55.28515625" style="347" bestFit="1" customWidth="1"/>
    <col min="11266" max="11266" width="0" style="347" hidden="1" customWidth="1"/>
    <col min="11267" max="11267" width="21.85546875" style="347" bestFit="1" customWidth="1"/>
    <col min="11268" max="11268" width="0" style="347" hidden="1" customWidth="1"/>
    <col min="11269" max="11269" width="21.42578125" style="347" customWidth="1"/>
    <col min="11270" max="11270" width="10" style="347" bestFit="1" customWidth="1"/>
    <col min="11271" max="11271" width="0" style="347" hidden="1" customWidth="1"/>
    <col min="11272" max="11520" width="9.140625" style="347"/>
    <col min="11521" max="11521" width="55.28515625" style="347" bestFit="1" customWidth="1"/>
    <col min="11522" max="11522" width="0" style="347" hidden="1" customWidth="1"/>
    <col min="11523" max="11523" width="21.85546875" style="347" bestFit="1" customWidth="1"/>
    <col min="11524" max="11524" width="0" style="347" hidden="1" customWidth="1"/>
    <col min="11525" max="11525" width="21.42578125" style="347" customWidth="1"/>
    <col min="11526" max="11526" width="10" style="347" bestFit="1" customWidth="1"/>
    <col min="11527" max="11527" width="0" style="347" hidden="1" customWidth="1"/>
    <col min="11528" max="11776" width="9.140625" style="347"/>
    <col min="11777" max="11777" width="55.28515625" style="347" bestFit="1" customWidth="1"/>
    <col min="11778" max="11778" width="0" style="347" hidden="1" customWidth="1"/>
    <col min="11779" max="11779" width="21.85546875" style="347" bestFit="1" customWidth="1"/>
    <col min="11780" max="11780" width="0" style="347" hidden="1" customWidth="1"/>
    <col min="11781" max="11781" width="21.42578125" style="347" customWidth="1"/>
    <col min="11782" max="11782" width="10" style="347" bestFit="1" customWidth="1"/>
    <col min="11783" max="11783" width="0" style="347" hidden="1" customWidth="1"/>
    <col min="11784" max="12032" width="9.140625" style="347"/>
    <col min="12033" max="12033" width="55.28515625" style="347" bestFit="1" customWidth="1"/>
    <col min="12034" max="12034" width="0" style="347" hidden="1" customWidth="1"/>
    <col min="12035" max="12035" width="21.85546875" style="347" bestFit="1" customWidth="1"/>
    <col min="12036" max="12036" width="0" style="347" hidden="1" customWidth="1"/>
    <col min="12037" max="12037" width="21.42578125" style="347" customWidth="1"/>
    <col min="12038" max="12038" width="10" style="347" bestFit="1" customWidth="1"/>
    <col min="12039" max="12039" width="0" style="347" hidden="1" customWidth="1"/>
    <col min="12040" max="12288" width="9.140625" style="347"/>
    <col min="12289" max="12289" width="55.28515625" style="347" bestFit="1" customWidth="1"/>
    <col min="12290" max="12290" width="0" style="347" hidden="1" customWidth="1"/>
    <col min="12291" max="12291" width="21.85546875" style="347" bestFit="1" customWidth="1"/>
    <col min="12292" max="12292" width="0" style="347" hidden="1" customWidth="1"/>
    <col min="12293" max="12293" width="21.42578125" style="347" customWidth="1"/>
    <col min="12294" max="12294" width="10" style="347" bestFit="1" customWidth="1"/>
    <col min="12295" max="12295" width="0" style="347" hidden="1" customWidth="1"/>
    <col min="12296" max="12544" width="9.140625" style="347"/>
    <col min="12545" max="12545" width="55.28515625" style="347" bestFit="1" customWidth="1"/>
    <col min="12546" max="12546" width="0" style="347" hidden="1" customWidth="1"/>
    <col min="12547" max="12547" width="21.85546875" style="347" bestFit="1" customWidth="1"/>
    <col min="12548" max="12548" width="0" style="347" hidden="1" customWidth="1"/>
    <col min="12549" max="12549" width="21.42578125" style="347" customWidth="1"/>
    <col min="12550" max="12550" width="10" style="347" bestFit="1" customWidth="1"/>
    <col min="12551" max="12551" width="0" style="347" hidden="1" customWidth="1"/>
    <col min="12552" max="12800" width="9.140625" style="347"/>
    <col min="12801" max="12801" width="55.28515625" style="347" bestFit="1" customWidth="1"/>
    <col min="12802" max="12802" width="0" style="347" hidden="1" customWidth="1"/>
    <col min="12803" max="12803" width="21.85546875" style="347" bestFit="1" customWidth="1"/>
    <col min="12804" max="12804" width="0" style="347" hidden="1" customWidth="1"/>
    <col min="12805" max="12805" width="21.42578125" style="347" customWidth="1"/>
    <col min="12806" max="12806" width="10" style="347" bestFit="1" customWidth="1"/>
    <col min="12807" max="12807" width="0" style="347" hidden="1" customWidth="1"/>
    <col min="12808" max="13056" width="9.140625" style="347"/>
    <col min="13057" max="13057" width="55.28515625" style="347" bestFit="1" customWidth="1"/>
    <col min="13058" max="13058" width="0" style="347" hidden="1" customWidth="1"/>
    <col min="13059" max="13059" width="21.85546875" style="347" bestFit="1" customWidth="1"/>
    <col min="13060" max="13060" width="0" style="347" hidden="1" customWidth="1"/>
    <col min="13061" max="13061" width="21.42578125" style="347" customWidth="1"/>
    <col min="13062" max="13062" width="10" style="347" bestFit="1" customWidth="1"/>
    <col min="13063" max="13063" width="0" style="347" hidden="1" customWidth="1"/>
    <col min="13064" max="13312" width="9.140625" style="347"/>
    <col min="13313" max="13313" width="55.28515625" style="347" bestFit="1" customWidth="1"/>
    <col min="13314" max="13314" width="0" style="347" hidden="1" customWidth="1"/>
    <col min="13315" max="13315" width="21.85546875" style="347" bestFit="1" customWidth="1"/>
    <col min="13316" max="13316" width="0" style="347" hidden="1" customWidth="1"/>
    <col min="13317" max="13317" width="21.42578125" style="347" customWidth="1"/>
    <col min="13318" max="13318" width="10" style="347" bestFit="1" customWidth="1"/>
    <col min="13319" max="13319" width="0" style="347" hidden="1" customWidth="1"/>
    <col min="13320" max="13568" width="9.140625" style="347"/>
    <col min="13569" max="13569" width="55.28515625" style="347" bestFit="1" customWidth="1"/>
    <col min="13570" max="13570" width="0" style="347" hidden="1" customWidth="1"/>
    <col min="13571" max="13571" width="21.85546875" style="347" bestFit="1" customWidth="1"/>
    <col min="13572" max="13572" width="0" style="347" hidden="1" customWidth="1"/>
    <col min="13573" max="13573" width="21.42578125" style="347" customWidth="1"/>
    <col min="13574" max="13574" width="10" style="347" bestFit="1" customWidth="1"/>
    <col min="13575" max="13575" width="0" style="347" hidden="1" customWidth="1"/>
    <col min="13576" max="13824" width="9.140625" style="347"/>
    <col min="13825" max="13825" width="55.28515625" style="347" bestFit="1" customWidth="1"/>
    <col min="13826" max="13826" width="0" style="347" hidden="1" customWidth="1"/>
    <col min="13827" max="13827" width="21.85546875" style="347" bestFit="1" customWidth="1"/>
    <col min="13828" max="13828" width="0" style="347" hidden="1" customWidth="1"/>
    <col min="13829" max="13829" width="21.42578125" style="347" customWidth="1"/>
    <col min="13830" max="13830" width="10" style="347" bestFit="1" customWidth="1"/>
    <col min="13831" max="13831" width="0" style="347" hidden="1" customWidth="1"/>
    <col min="13832" max="14080" width="9.140625" style="347"/>
    <col min="14081" max="14081" width="55.28515625" style="347" bestFit="1" customWidth="1"/>
    <col min="14082" max="14082" width="0" style="347" hidden="1" customWidth="1"/>
    <col min="14083" max="14083" width="21.85546875" style="347" bestFit="1" customWidth="1"/>
    <col min="14084" max="14084" width="0" style="347" hidden="1" customWidth="1"/>
    <col min="14085" max="14085" width="21.42578125" style="347" customWidth="1"/>
    <col min="14086" max="14086" width="10" style="347" bestFit="1" customWidth="1"/>
    <col min="14087" max="14087" width="0" style="347" hidden="1" customWidth="1"/>
    <col min="14088" max="14336" width="9.140625" style="347"/>
    <col min="14337" max="14337" width="55.28515625" style="347" bestFit="1" customWidth="1"/>
    <col min="14338" max="14338" width="0" style="347" hidden="1" customWidth="1"/>
    <col min="14339" max="14339" width="21.85546875" style="347" bestFit="1" customWidth="1"/>
    <col min="14340" max="14340" width="0" style="347" hidden="1" customWidth="1"/>
    <col min="14341" max="14341" width="21.42578125" style="347" customWidth="1"/>
    <col min="14342" max="14342" width="10" style="347" bestFit="1" customWidth="1"/>
    <col min="14343" max="14343" width="0" style="347" hidden="1" customWidth="1"/>
    <col min="14344" max="14592" width="9.140625" style="347"/>
    <col min="14593" max="14593" width="55.28515625" style="347" bestFit="1" customWidth="1"/>
    <col min="14594" max="14594" width="0" style="347" hidden="1" customWidth="1"/>
    <col min="14595" max="14595" width="21.85546875" style="347" bestFit="1" customWidth="1"/>
    <col min="14596" max="14596" width="0" style="347" hidden="1" customWidth="1"/>
    <col min="14597" max="14597" width="21.42578125" style="347" customWidth="1"/>
    <col min="14598" max="14598" width="10" style="347" bestFit="1" customWidth="1"/>
    <col min="14599" max="14599" width="0" style="347" hidden="1" customWidth="1"/>
    <col min="14600" max="14848" width="9.140625" style="347"/>
    <col min="14849" max="14849" width="55.28515625" style="347" bestFit="1" customWidth="1"/>
    <col min="14850" max="14850" width="0" style="347" hidden="1" customWidth="1"/>
    <col min="14851" max="14851" width="21.85546875" style="347" bestFit="1" customWidth="1"/>
    <col min="14852" max="14852" width="0" style="347" hidden="1" customWidth="1"/>
    <col min="14853" max="14853" width="21.42578125" style="347" customWidth="1"/>
    <col min="14854" max="14854" width="10" style="347" bestFit="1" customWidth="1"/>
    <col min="14855" max="14855" width="0" style="347" hidden="1" customWidth="1"/>
    <col min="14856" max="15104" width="9.140625" style="347"/>
    <col min="15105" max="15105" width="55.28515625" style="347" bestFit="1" customWidth="1"/>
    <col min="15106" max="15106" width="0" style="347" hidden="1" customWidth="1"/>
    <col min="15107" max="15107" width="21.85546875" style="347" bestFit="1" customWidth="1"/>
    <col min="15108" max="15108" width="0" style="347" hidden="1" customWidth="1"/>
    <col min="15109" max="15109" width="21.42578125" style="347" customWidth="1"/>
    <col min="15110" max="15110" width="10" style="347" bestFit="1" customWidth="1"/>
    <col min="15111" max="15111" width="0" style="347" hidden="1" customWidth="1"/>
    <col min="15112" max="15360" width="9.140625" style="347"/>
    <col min="15361" max="15361" width="55.28515625" style="347" bestFit="1" customWidth="1"/>
    <col min="15362" max="15362" width="0" style="347" hidden="1" customWidth="1"/>
    <col min="15363" max="15363" width="21.85546875" style="347" bestFit="1" customWidth="1"/>
    <col min="15364" max="15364" width="0" style="347" hidden="1" customWidth="1"/>
    <col min="15365" max="15365" width="21.42578125" style="347" customWidth="1"/>
    <col min="15366" max="15366" width="10" style="347" bestFit="1" customWidth="1"/>
    <col min="15367" max="15367" width="0" style="347" hidden="1" customWidth="1"/>
    <col min="15368" max="15616" width="9.140625" style="347"/>
    <col min="15617" max="15617" width="55.28515625" style="347" bestFit="1" customWidth="1"/>
    <col min="15618" max="15618" width="0" style="347" hidden="1" customWidth="1"/>
    <col min="15619" max="15619" width="21.85546875" style="347" bestFit="1" customWidth="1"/>
    <col min="15620" max="15620" width="0" style="347" hidden="1" customWidth="1"/>
    <col min="15621" max="15621" width="21.42578125" style="347" customWidth="1"/>
    <col min="15622" max="15622" width="10" style="347" bestFit="1" customWidth="1"/>
    <col min="15623" max="15623" width="0" style="347" hidden="1" customWidth="1"/>
    <col min="15624" max="15872" width="9.140625" style="347"/>
    <col min="15873" max="15873" width="55.28515625" style="347" bestFit="1" customWidth="1"/>
    <col min="15874" max="15874" width="0" style="347" hidden="1" customWidth="1"/>
    <col min="15875" max="15875" width="21.85546875" style="347" bestFit="1" customWidth="1"/>
    <col min="15876" max="15876" width="0" style="347" hidden="1" customWidth="1"/>
    <col min="15877" max="15877" width="21.42578125" style="347" customWidth="1"/>
    <col min="15878" max="15878" width="10" style="347" bestFit="1" customWidth="1"/>
    <col min="15879" max="15879" width="0" style="347" hidden="1" customWidth="1"/>
    <col min="15880" max="16128" width="9.140625" style="347"/>
    <col min="16129" max="16129" width="55.28515625" style="347" bestFit="1" customWidth="1"/>
    <col min="16130" max="16130" width="0" style="347" hidden="1" customWidth="1"/>
    <col min="16131" max="16131" width="21.85546875" style="347" bestFit="1" customWidth="1"/>
    <col min="16132" max="16132" width="0" style="347" hidden="1" customWidth="1"/>
    <col min="16133" max="16133" width="21.42578125" style="347" customWidth="1"/>
    <col min="16134" max="16134" width="10" style="347" bestFit="1" customWidth="1"/>
    <col min="16135" max="16135" width="0" style="347" hidden="1" customWidth="1"/>
    <col min="16136" max="16384" width="9.140625" style="347"/>
  </cols>
  <sheetData>
    <row r="1" spans="1:7" ht="15.75" customHeight="1" x14ac:dyDescent="0.2">
      <c r="A1" s="916" t="s">
        <v>0</v>
      </c>
      <c r="B1" s="916"/>
      <c r="C1" s="916"/>
      <c r="D1" s="916"/>
      <c r="E1" s="916"/>
      <c r="F1" s="916"/>
      <c r="G1" s="916"/>
    </row>
    <row r="2" spans="1:7" ht="15.75" customHeight="1" x14ac:dyDescent="0.2">
      <c r="A2" s="917" t="s">
        <v>276</v>
      </c>
      <c r="B2" s="917"/>
      <c r="C2" s="917"/>
      <c r="D2" s="917"/>
      <c r="E2" s="917"/>
      <c r="F2" s="917"/>
      <c r="G2" s="917"/>
    </row>
    <row r="3" spans="1:7" ht="15.75" customHeight="1" x14ac:dyDescent="0.2">
      <c r="A3" s="917"/>
      <c r="B3" s="917"/>
      <c r="C3" s="917"/>
      <c r="D3" s="917"/>
      <c r="E3" s="917"/>
      <c r="F3" s="917"/>
      <c r="G3" s="917"/>
    </row>
    <row r="4" spans="1:7" ht="36.75" customHeight="1" x14ac:dyDescent="0.2">
      <c r="A4" s="918" t="s">
        <v>378</v>
      </c>
      <c r="B4" s="918"/>
      <c r="C4" s="918"/>
      <c r="D4" s="918"/>
      <c r="E4" s="918"/>
      <c r="F4" s="918"/>
      <c r="G4" s="918"/>
    </row>
    <row r="5" spans="1:7" s="349" customFormat="1" x14ac:dyDescent="0.2">
      <c r="A5" s="348"/>
      <c r="B5" s="919"/>
      <c r="C5" s="919"/>
      <c r="D5" s="919"/>
      <c r="E5" s="919"/>
      <c r="F5" s="919"/>
      <c r="G5" s="919"/>
    </row>
    <row r="6" spans="1:7" hidden="1" x14ac:dyDescent="0.2">
      <c r="A6" s="350"/>
      <c r="B6" s="351"/>
      <c r="C6" s="351"/>
      <c r="D6" s="351"/>
      <c r="E6" s="352"/>
      <c r="F6" s="352"/>
      <c r="G6" s="351"/>
    </row>
    <row r="7" spans="1:7" ht="15.75" hidden="1" x14ac:dyDescent="0.2">
      <c r="A7" s="920" t="s">
        <v>2</v>
      </c>
      <c r="B7" s="921"/>
      <c r="C7" s="921"/>
      <c r="D7" s="921"/>
      <c r="E7" s="921"/>
      <c r="F7" s="921"/>
      <c r="G7" s="921"/>
    </row>
    <row r="8" spans="1:7" ht="60" hidden="1" x14ac:dyDescent="0.2">
      <c r="A8" s="280" t="s">
        <v>3</v>
      </c>
      <c r="B8" s="280" t="s">
        <v>4</v>
      </c>
      <c r="C8" s="281" t="s">
        <v>6</v>
      </c>
      <c r="D8" s="281"/>
      <c r="E8" s="282" t="s">
        <v>277</v>
      </c>
      <c r="F8" s="282"/>
      <c r="G8" s="283" t="s">
        <v>278</v>
      </c>
    </row>
    <row r="9" spans="1:7" ht="15.75" hidden="1" x14ac:dyDescent="0.2">
      <c r="A9" s="922">
        <v>1</v>
      </c>
      <c r="B9" s="923"/>
      <c r="C9" s="924"/>
      <c r="D9" s="612"/>
      <c r="E9" s="353">
        <v>2</v>
      </c>
      <c r="F9" s="353"/>
      <c r="G9" s="354">
        <v>3</v>
      </c>
    </row>
    <row r="10" spans="1:7" hidden="1" x14ac:dyDescent="0.2">
      <c r="A10" s="284">
        <v>6</v>
      </c>
      <c r="B10" s="285"/>
      <c r="C10" s="284"/>
      <c r="D10" s="284"/>
      <c r="E10" s="286">
        <f>E11+E26+E30+E33+E40+E43</f>
        <v>24659145.79600504</v>
      </c>
      <c r="F10" s="286"/>
      <c r="G10" s="286">
        <f>G11+G26+G30+G33+G40+G43</f>
        <v>63888652.490000002</v>
      </c>
    </row>
    <row r="11" spans="1:7" hidden="1" x14ac:dyDescent="0.2">
      <c r="A11" s="287"/>
      <c r="B11" s="288">
        <v>63</v>
      </c>
      <c r="C11" s="289" t="s">
        <v>41</v>
      </c>
      <c r="D11" s="289"/>
      <c r="E11" s="290">
        <f>E12+E14+E17+E19+E21+E24</f>
        <v>324811.46725064697</v>
      </c>
      <c r="F11" s="290"/>
      <c r="G11" s="290">
        <f>SUM(G12,G14,G17,G19,G21,G24)</f>
        <v>639378.8600000001</v>
      </c>
    </row>
    <row r="12" spans="1:7" hidden="1" x14ac:dyDescent="0.2">
      <c r="A12" s="287"/>
      <c r="B12" s="293">
        <v>632</v>
      </c>
      <c r="C12" s="294" t="s">
        <v>240</v>
      </c>
      <c r="D12" s="294"/>
      <c r="E12" s="295">
        <f>SUM(E13)</f>
        <v>0</v>
      </c>
      <c r="F12" s="295"/>
      <c r="G12" s="295">
        <f>SUM(G13)</f>
        <v>0</v>
      </c>
    </row>
    <row r="13" spans="1:7" hidden="1" x14ac:dyDescent="0.2">
      <c r="A13" s="287"/>
      <c r="B13" s="296">
        <v>6324</v>
      </c>
      <c r="C13" s="297" t="s">
        <v>241</v>
      </c>
      <c r="D13" s="297"/>
      <c r="E13" s="355">
        <v>0</v>
      </c>
      <c r="F13" s="355"/>
      <c r="G13" s="356">
        <v>0</v>
      </c>
    </row>
    <row r="14" spans="1:7" hidden="1" x14ac:dyDescent="0.2">
      <c r="A14" s="287"/>
      <c r="B14" s="293">
        <v>633</v>
      </c>
      <c r="C14" s="299" t="s">
        <v>242</v>
      </c>
      <c r="D14" s="299"/>
      <c r="E14" s="295">
        <f>SUM(E15:E16)</f>
        <v>50556.108567257281</v>
      </c>
      <c r="F14" s="295"/>
      <c r="G14" s="295">
        <f>SUM(G15:G16)</f>
        <v>0</v>
      </c>
    </row>
    <row r="15" spans="1:7" hidden="1" x14ac:dyDescent="0.2">
      <c r="A15" s="287"/>
      <c r="B15" s="302">
        <v>6331</v>
      </c>
      <c r="C15" s="357" t="s">
        <v>244</v>
      </c>
      <c r="D15" s="357"/>
      <c r="E15" s="355">
        <f>380915/7.5345</f>
        <v>50556.108567257281</v>
      </c>
      <c r="F15" s="355"/>
      <c r="G15" s="356">
        <v>0</v>
      </c>
    </row>
    <row r="16" spans="1:7" hidden="1" x14ac:dyDescent="0.2">
      <c r="A16" s="287"/>
      <c r="B16" s="302">
        <v>6332</v>
      </c>
      <c r="C16" s="357" t="s">
        <v>246</v>
      </c>
      <c r="D16" s="357"/>
      <c r="E16" s="355">
        <v>0</v>
      </c>
      <c r="F16" s="355"/>
      <c r="G16" s="355">
        <v>0</v>
      </c>
    </row>
    <row r="17" spans="1:7" hidden="1" x14ac:dyDescent="0.2">
      <c r="A17" s="287"/>
      <c r="B17" s="287">
        <v>634</v>
      </c>
      <c r="C17" s="358" t="s">
        <v>24</v>
      </c>
      <c r="D17" s="358"/>
      <c r="E17" s="359">
        <f>SUM(E18)</f>
        <v>111981.9496980556</v>
      </c>
      <c r="F17" s="359"/>
      <c r="G17" s="359">
        <f>SUM(G18)</f>
        <v>366500.76</v>
      </c>
    </row>
    <row r="18" spans="1:7" hidden="1" x14ac:dyDescent="0.2">
      <c r="A18" s="287"/>
      <c r="B18" s="302">
        <v>6341</v>
      </c>
      <c r="C18" s="357" t="s">
        <v>26</v>
      </c>
      <c r="D18" s="357"/>
      <c r="E18" s="355">
        <f>843728/7.5345</f>
        <v>111981.9496980556</v>
      </c>
      <c r="F18" s="355"/>
      <c r="G18" s="355">
        <v>366500.76</v>
      </c>
    </row>
    <row r="19" spans="1:7" ht="17.25" hidden="1" customHeight="1" x14ac:dyDescent="0.2">
      <c r="A19" s="287"/>
      <c r="B19" s="287">
        <v>636</v>
      </c>
      <c r="C19" s="308" t="s">
        <v>248</v>
      </c>
      <c r="D19" s="308"/>
      <c r="E19" s="359">
        <f>SUM(E20)</f>
        <v>54857.12389674165</v>
      </c>
      <c r="F19" s="359"/>
      <c r="G19" s="359">
        <f>SUM(G20)</f>
        <v>796.34</v>
      </c>
    </row>
    <row r="20" spans="1:7" hidden="1" x14ac:dyDescent="0.2">
      <c r="A20" s="287"/>
      <c r="B20" s="302">
        <v>6361</v>
      </c>
      <c r="C20" s="360" t="s">
        <v>249</v>
      </c>
      <c r="D20" s="360"/>
      <c r="E20" s="355">
        <f>413321/7.5345</f>
        <v>54857.12389674165</v>
      </c>
      <c r="F20" s="355"/>
      <c r="G20" s="355">
        <f>796.34</f>
        <v>796.34</v>
      </c>
    </row>
    <row r="21" spans="1:7" hidden="1" x14ac:dyDescent="0.2">
      <c r="A21" s="287"/>
      <c r="B21" s="287">
        <v>638</v>
      </c>
      <c r="C21" s="361" t="s">
        <v>250</v>
      </c>
      <c r="D21" s="361"/>
      <c r="E21" s="359">
        <f>SUM(E22:E23)</f>
        <v>107244.80722012077</v>
      </c>
      <c r="F21" s="359"/>
      <c r="G21" s="359">
        <f>SUM(G23)</f>
        <v>272081.76</v>
      </c>
    </row>
    <row r="22" spans="1:7" hidden="1" x14ac:dyDescent="0.2">
      <c r="A22" s="302"/>
      <c r="B22" s="302">
        <v>6381</v>
      </c>
      <c r="C22" s="360" t="s">
        <v>34</v>
      </c>
      <c r="D22" s="360"/>
      <c r="E22" s="355">
        <f>493624/7.5345</f>
        <v>65515.163580861365</v>
      </c>
      <c r="F22" s="355"/>
      <c r="G22" s="355">
        <v>0</v>
      </c>
    </row>
    <row r="23" spans="1:7" hidden="1" x14ac:dyDescent="0.2">
      <c r="A23" s="287"/>
      <c r="B23" s="302">
        <v>6382</v>
      </c>
      <c r="C23" s="360" t="s">
        <v>251</v>
      </c>
      <c r="D23" s="360"/>
      <c r="E23" s="355">
        <f>314412/7.5345</f>
        <v>41729.643639259404</v>
      </c>
      <c r="F23" s="355"/>
      <c r="G23" s="355">
        <v>272081.76</v>
      </c>
    </row>
    <row r="24" spans="1:7" hidden="1" x14ac:dyDescent="0.2">
      <c r="A24" s="287"/>
      <c r="B24" s="287">
        <v>639</v>
      </c>
      <c r="C24" s="361" t="s">
        <v>252</v>
      </c>
      <c r="D24" s="361"/>
      <c r="E24" s="359">
        <f>SUM(E25)</f>
        <v>171.47786847169687</v>
      </c>
      <c r="F24" s="359"/>
      <c r="G24" s="359">
        <f>SUM(G25)</f>
        <v>0</v>
      </c>
    </row>
    <row r="25" spans="1:7" hidden="1" x14ac:dyDescent="0.2">
      <c r="A25" s="287"/>
      <c r="B25" s="302">
        <v>6391</v>
      </c>
      <c r="C25" s="360" t="s">
        <v>253</v>
      </c>
      <c r="D25" s="360"/>
      <c r="E25" s="355">
        <f>1292/7.5345</f>
        <v>171.47786847169687</v>
      </c>
      <c r="F25" s="355"/>
      <c r="G25" s="355">
        <v>0</v>
      </c>
    </row>
    <row r="26" spans="1:7" hidden="1" x14ac:dyDescent="0.2">
      <c r="A26" s="287"/>
      <c r="B26" s="310">
        <v>64</v>
      </c>
      <c r="C26" s="362" t="s">
        <v>42</v>
      </c>
      <c r="D26" s="362"/>
      <c r="E26" s="363">
        <f>SUM(E27:E29)</f>
        <v>50144.535138363528</v>
      </c>
      <c r="F26" s="363"/>
      <c r="G26" s="363">
        <f>SUM(G27:G29)</f>
        <v>120462.42</v>
      </c>
    </row>
    <row r="27" spans="1:7" hidden="1" x14ac:dyDescent="0.2">
      <c r="A27" s="287"/>
      <c r="B27" s="302">
        <v>6413</v>
      </c>
      <c r="C27" s="357" t="s">
        <v>254</v>
      </c>
      <c r="D27" s="357"/>
      <c r="E27" s="355">
        <f>439/7.5345</f>
        <v>58.265312894020838</v>
      </c>
      <c r="F27" s="355"/>
      <c r="G27" s="355">
        <v>746.44</v>
      </c>
    </row>
    <row r="28" spans="1:7" hidden="1" x14ac:dyDescent="0.2">
      <c r="A28" s="287"/>
      <c r="B28" s="302">
        <v>6419</v>
      </c>
      <c r="C28" s="357" t="s">
        <v>255</v>
      </c>
      <c r="D28" s="357"/>
      <c r="E28" s="355">
        <f>376342/7.5345</f>
        <v>49949.167164377199</v>
      </c>
      <c r="F28" s="355"/>
      <c r="G28" s="355">
        <v>119450.53</v>
      </c>
    </row>
    <row r="29" spans="1:7" hidden="1" x14ac:dyDescent="0.2">
      <c r="A29" s="287"/>
      <c r="B29" s="302">
        <v>6429</v>
      </c>
      <c r="C29" s="357" t="s">
        <v>57</v>
      </c>
      <c r="D29" s="357"/>
      <c r="E29" s="355">
        <f>1033/7.5345</f>
        <v>137.10266109230869</v>
      </c>
      <c r="F29" s="355"/>
      <c r="G29" s="355">
        <f>265.45</f>
        <v>265.45</v>
      </c>
    </row>
    <row r="30" spans="1:7" hidden="1" x14ac:dyDescent="0.2">
      <c r="A30" s="287"/>
      <c r="B30" s="310">
        <v>65</v>
      </c>
      <c r="C30" s="362" t="s">
        <v>46</v>
      </c>
      <c r="D30" s="362"/>
      <c r="E30" s="363">
        <f>E31</f>
        <v>1523828.3894087197</v>
      </c>
      <c r="F30" s="363"/>
      <c r="G30" s="363">
        <f>SUM(G31)</f>
        <v>6950029.8600000003</v>
      </c>
    </row>
    <row r="31" spans="1:7" hidden="1" x14ac:dyDescent="0.2">
      <c r="A31" s="287"/>
      <c r="B31" s="287">
        <v>652</v>
      </c>
      <c r="C31" s="358" t="s">
        <v>46</v>
      </c>
      <c r="D31" s="358"/>
      <c r="E31" s="359">
        <f>SUM(E32)</f>
        <v>1523828.3894087197</v>
      </c>
      <c r="F31" s="359"/>
      <c r="G31" s="359">
        <f>SUM(G32)</f>
        <v>6950029.8600000003</v>
      </c>
    </row>
    <row r="32" spans="1:7" hidden="1" x14ac:dyDescent="0.2">
      <c r="A32" s="287"/>
      <c r="B32" s="302">
        <v>6526</v>
      </c>
      <c r="C32" s="357" t="s">
        <v>47</v>
      </c>
      <c r="D32" s="357"/>
      <c r="E32" s="355">
        <f>11481285/7.5345</f>
        <v>1523828.3894087197</v>
      </c>
      <c r="F32" s="355"/>
      <c r="G32" s="355">
        <f>6950029.86</f>
        <v>6950029.8600000003</v>
      </c>
    </row>
    <row r="33" spans="1:7" hidden="1" x14ac:dyDescent="0.2">
      <c r="A33" s="287"/>
      <c r="B33" s="310">
        <v>66</v>
      </c>
      <c r="C33" s="362" t="s">
        <v>256</v>
      </c>
      <c r="D33" s="362"/>
      <c r="E33" s="363">
        <f>E34+E37</f>
        <v>1701559.2275532549</v>
      </c>
      <c r="F33" s="363"/>
      <c r="G33" s="363">
        <f>SUM(G34,G37)</f>
        <v>3641484.8899999997</v>
      </c>
    </row>
    <row r="34" spans="1:7" hidden="1" x14ac:dyDescent="0.2">
      <c r="A34" s="287"/>
      <c r="B34" s="287">
        <v>661</v>
      </c>
      <c r="C34" s="361" t="s">
        <v>257</v>
      </c>
      <c r="D34" s="361"/>
      <c r="E34" s="359">
        <f>SUM(E35:E36)</f>
        <v>1677912.004778021</v>
      </c>
      <c r="F34" s="359"/>
      <c r="G34" s="359">
        <f>SUM(G36,G35)</f>
        <v>3521370.76</v>
      </c>
    </row>
    <row r="35" spans="1:7" hidden="1" x14ac:dyDescent="0.2">
      <c r="A35" s="302"/>
      <c r="B35" s="302">
        <v>6614</v>
      </c>
      <c r="C35" s="360" t="s">
        <v>258</v>
      </c>
      <c r="D35" s="360"/>
      <c r="E35" s="355">
        <f>6216809/7.5345</f>
        <v>825112.34985732299</v>
      </c>
      <c r="F35" s="355"/>
      <c r="G35" s="355">
        <v>1725396.51</v>
      </c>
    </row>
    <row r="36" spans="1:7" hidden="1" x14ac:dyDescent="0.2">
      <c r="A36" s="287"/>
      <c r="B36" s="302">
        <v>6615</v>
      </c>
      <c r="C36" s="357" t="s">
        <v>64</v>
      </c>
      <c r="D36" s="357"/>
      <c r="E36" s="355">
        <f>6425419/7.5345</f>
        <v>852799.65492069803</v>
      </c>
      <c r="F36" s="355"/>
      <c r="G36" s="355">
        <v>1795974.25</v>
      </c>
    </row>
    <row r="37" spans="1:7" hidden="1" x14ac:dyDescent="0.2">
      <c r="A37" s="287"/>
      <c r="B37" s="287">
        <v>663</v>
      </c>
      <c r="C37" s="358" t="s">
        <v>259</v>
      </c>
      <c r="D37" s="358"/>
      <c r="E37" s="359">
        <f>SUM(E38:E39)</f>
        <v>23647.222775233924</v>
      </c>
      <c r="F37" s="359"/>
      <c r="G37" s="359">
        <f>SUM(G38:G39)</f>
        <v>120114.13</v>
      </c>
    </row>
    <row r="38" spans="1:7" hidden="1" x14ac:dyDescent="0.2">
      <c r="A38" s="287"/>
      <c r="B38" s="302">
        <v>6631</v>
      </c>
      <c r="C38" s="357" t="s">
        <v>68</v>
      </c>
      <c r="D38" s="357"/>
      <c r="E38" s="355">
        <f>5000/7.5345</f>
        <v>663.61404207313024</v>
      </c>
      <c r="F38" s="355"/>
      <c r="G38" s="355">
        <v>53752.73</v>
      </c>
    </row>
    <row r="39" spans="1:7" hidden="1" x14ac:dyDescent="0.2">
      <c r="A39" s="287"/>
      <c r="B39" s="302">
        <v>6632</v>
      </c>
      <c r="C39" s="357" t="s">
        <v>70</v>
      </c>
      <c r="D39" s="357"/>
      <c r="E39" s="355">
        <f>173170/7.5345</f>
        <v>22983.608733160792</v>
      </c>
      <c r="F39" s="355"/>
      <c r="G39" s="355">
        <v>66361.399999999994</v>
      </c>
    </row>
    <row r="40" spans="1:7" s="364" customFormat="1" hidden="1" x14ac:dyDescent="0.2">
      <c r="A40" s="287"/>
      <c r="B40" s="310">
        <v>67</v>
      </c>
      <c r="C40" s="362" t="s">
        <v>260</v>
      </c>
      <c r="D40" s="362"/>
      <c r="E40" s="363">
        <f t="shared" ref="E40:G41" si="0">SUM(E41)</f>
        <v>20985599.575287011</v>
      </c>
      <c r="F40" s="363"/>
      <c r="G40" s="363">
        <f t="shared" si="0"/>
        <v>52367289.020000003</v>
      </c>
    </row>
    <row r="41" spans="1:7" hidden="1" x14ac:dyDescent="0.2">
      <c r="A41" s="287"/>
      <c r="B41" s="287">
        <v>673</v>
      </c>
      <c r="C41" s="358" t="s">
        <v>261</v>
      </c>
      <c r="D41" s="358"/>
      <c r="E41" s="359">
        <f t="shared" si="0"/>
        <v>20985599.575287011</v>
      </c>
      <c r="F41" s="359"/>
      <c r="G41" s="359">
        <f t="shared" si="0"/>
        <v>52367289.020000003</v>
      </c>
    </row>
    <row r="42" spans="1:7" hidden="1" x14ac:dyDescent="0.2">
      <c r="A42" s="287"/>
      <c r="B42" s="302">
        <v>6731</v>
      </c>
      <c r="C42" s="357" t="s">
        <v>49</v>
      </c>
      <c r="D42" s="357"/>
      <c r="E42" s="355">
        <f>158116000/7.5345</f>
        <v>20985599.575287011</v>
      </c>
      <c r="F42" s="355"/>
      <c r="G42" s="355">
        <v>52367289.020000003</v>
      </c>
    </row>
    <row r="43" spans="1:7" ht="15" hidden="1" x14ac:dyDescent="0.2">
      <c r="A43" s="287"/>
      <c r="B43" s="310">
        <v>68</v>
      </c>
      <c r="C43" s="365" t="s">
        <v>52</v>
      </c>
      <c r="D43" s="365"/>
      <c r="E43" s="363">
        <f t="shared" ref="E43:G44" si="1">SUM(E44)</f>
        <v>73202.601367044917</v>
      </c>
      <c r="F43" s="363"/>
      <c r="G43" s="363">
        <f t="shared" si="1"/>
        <v>170007.44</v>
      </c>
    </row>
    <row r="44" spans="1:7" hidden="1" x14ac:dyDescent="0.2">
      <c r="A44" s="287"/>
      <c r="B44" s="287">
        <v>683</v>
      </c>
      <c r="C44" s="358" t="s">
        <v>54</v>
      </c>
      <c r="D44" s="358"/>
      <c r="E44" s="359">
        <f t="shared" si="1"/>
        <v>73202.601367044917</v>
      </c>
      <c r="F44" s="359"/>
      <c r="G44" s="359">
        <f t="shared" si="1"/>
        <v>170007.44</v>
      </c>
    </row>
    <row r="45" spans="1:7" hidden="1" x14ac:dyDescent="0.2">
      <c r="A45" s="287"/>
      <c r="B45" s="302">
        <v>6831</v>
      </c>
      <c r="C45" s="357" t="s">
        <v>54</v>
      </c>
      <c r="D45" s="357"/>
      <c r="E45" s="355">
        <f>551545/7.5345</f>
        <v>73202.601367044917</v>
      </c>
      <c r="F45" s="355"/>
      <c r="G45" s="355">
        <v>170007.44</v>
      </c>
    </row>
    <row r="46" spans="1:7" ht="15" hidden="1" x14ac:dyDescent="0.2">
      <c r="A46" s="284">
        <v>7</v>
      </c>
      <c r="B46" s="284"/>
      <c r="C46" s="366" t="s">
        <v>75</v>
      </c>
      <c r="D46" s="366"/>
      <c r="E46" s="367">
        <f>E48</f>
        <v>206.78213550998737</v>
      </c>
      <c r="F46" s="367"/>
      <c r="G46" s="367">
        <f>SUM(G47)</f>
        <v>7432.4800000000005</v>
      </c>
    </row>
    <row r="47" spans="1:7" ht="15" hidden="1" x14ac:dyDescent="0.2">
      <c r="A47" s="287"/>
      <c r="B47" s="310">
        <v>72</v>
      </c>
      <c r="C47" s="368" t="s">
        <v>76</v>
      </c>
      <c r="D47" s="368"/>
      <c r="E47" s="363">
        <f>SUM(E48)</f>
        <v>206.78213550998737</v>
      </c>
      <c r="F47" s="363"/>
      <c r="G47" s="363">
        <f>SUM(G48)</f>
        <v>7432.4800000000005</v>
      </c>
    </row>
    <row r="48" spans="1:7" hidden="1" x14ac:dyDescent="0.2">
      <c r="A48" s="287"/>
      <c r="B48" s="287">
        <v>721</v>
      </c>
      <c r="C48" s="358" t="s">
        <v>77</v>
      </c>
      <c r="D48" s="358"/>
      <c r="E48" s="359">
        <f>SUM(E49)</f>
        <v>206.78213550998737</v>
      </c>
      <c r="F48" s="359"/>
      <c r="G48" s="359">
        <f>SUM(G49,G50)</f>
        <v>7432.4800000000005</v>
      </c>
    </row>
    <row r="49" spans="1:7" hidden="1" x14ac:dyDescent="0.2">
      <c r="A49" s="287"/>
      <c r="B49" s="302">
        <v>7211</v>
      </c>
      <c r="C49" s="357" t="s">
        <v>78</v>
      </c>
      <c r="D49" s="357"/>
      <c r="E49" s="355">
        <f>1558/7.5345</f>
        <v>206.78213550998737</v>
      </c>
      <c r="F49" s="355"/>
      <c r="G49" s="355">
        <v>796.34</v>
      </c>
    </row>
    <row r="50" spans="1:7" hidden="1" x14ac:dyDescent="0.2">
      <c r="A50" s="287"/>
      <c r="B50" s="302">
        <v>7231</v>
      </c>
      <c r="C50" s="357" t="s">
        <v>80</v>
      </c>
      <c r="D50" s="357"/>
      <c r="E50" s="355">
        <v>0</v>
      </c>
      <c r="F50" s="355"/>
      <c r="G50" s="355">
        <v>6636.14</v>
      </c>
    </row>
    <row r="51" spans="1:7" ht="18.75" hidden="1" x14ac:dyDescent="0.3">
      <c r="A51" s="901" t="s">
        <v>262</v>
      </c>
      <c r="B51" s="902"/>
      <c r="C51" s="903"/>
      <c r="D51" s="540"/>
      <c r="E51" s="369">
        <f>E10+E46</f>
        <v>24659352.578140549</v>
      </c>
      <c r="F51" s="369"/>
      <c r="G51" s="369">
        <f>G10+G46</f>
        <v>63896084.969999999</v>
      </c>
    </row>
    <row r="52" spans="1:7" hidden="1" x14ac:dyDescent="0.2"/>
    <row r="53" spans="1:7" hidden="1" x14ac:dyDescent="0.2"/>
    <row r="54" spans="1:7" ht="15.75" x14ac:dyDescent="0.2">
      <c r="A54" s="909" t="s">
        <v>279</v>
      </c>
      <c r="B54" s="909"/>
      <c r="C54" s="909"/>
      <c r="D54" s="909"/>
      <c r="E54" s="909"/>
      <c r="F54" s="909"/>
      <c r="G54" s="909"/>
    </row>
    <row r="55" spans="1:7" ht="69" customHeight="1" x14ac:dyDescent="0.2">
      <c r="A55" s="280" t="s">
        <v>3</v>
      </c>
      <c r="B55" s="372" t="s">
        <v>4</v>
      </c>
      <c r="C55" s="373" t="s">
        <v>6</v>
      </c>
      <c r="D55" s="868" t="s">
        <v>629</v>
      </c>
      <c r="E55" s="731" t="s">
        <v>608</v>
      </c>
      <c r="F55" s="282" t="s">
        <v>609</v>
      </c>
      <c r="G55" s="283" t="s">
        <v>617</v>
      </c>
    </row>
    <row r="56" spans="1:7" s="375" customFormat="1" ht="13.5" customHeight="1" x14ac:dyDescent="0.2">
      <c r="A56" s="910">
        <v>1</v>
      </c>
      <c r="B56" s="911"/>
      <c r="C56" s="912"/>
      <c r="D56" s="611"/>
      <c r="E56" s="374">
        <v>2</v>
      </c>
      <c r="F56" s="374"/>
      <c r="G56" s="374">
        <v>3</v>
      </c>
    </row>
    <row r="57" spans="1:7" x14ac:dyDescent="0.2">
      <c r="A57" s="284">
        <v>3</v>
      </c>
      <c r="B57" s="376"/>
      <c r="C57" s="376" t="s">
        <v>82</v>
      </c>
      <c r="D57" s="367">
        <f>D58+D82+D178+D190+D194+D199</f>
        <v>2567146.56</v>
      </c>
      <c r="E57" s="367">
        <f>E58+E82+E178+E190+E194+E199</f>
        <v>4299508.6899999995</v>
      </c>
      <c r="F57" s="367">
        <f>F58+F82+F178+F190+F194+F199</f>
        <v>4244329.5999999996</v>
      </c>
      <c r="G57" s="367">
        <f t="shared" ref="G57" si="2">G58+G82+G178+G190+G194+G199</f>
        <v>2396625.08</v>
      </c>
    </row>
    <row r="58" spans="1:7" x14ac:dyDescent="0.2">
      <c r="A58" s="287"/>
      <c r="B58" s="377">
        <v>31</v>
      </c>
      <c r="C58" s="377" t="s">
        <v>88</v>
      </c>
      <c r="D58" s="378">
        <f>SUM(D59,D68,D76)</f>
        <v>2059493.8200000003</v>
      </c>
      <c r="E58" s="378">
        <f>SUM(E59,E68,E76)</f>
        <v>3228791.6399999997</v>
      </c>
      <c r="F58" s="378">
        <f>SUM(F59,F68,F76)</f>
        <v>3224991.6399999997</v>
      </c>
      <c r="G58" s="378">
        <f t="shared" ref="G58" si="3">SUM(G59,G68,G76)</f>
        <v>1983259.5</v>
      </c>
    </row>
    <row r="59" spans="1:7" x14ac:dyDescent="0.2">
      <c r="A59" s="287"/>
      <c r="B59" s="358">
        <v>311</v>
      </c>
      <c r="C59" s="358" t="s">
        <v>280</v>
      </c>
      <c r="D59" s="359">
        <f>D60+D64+D66</f>
        <v>1741083.9200000002</v>
      </c>
      <c r="E59" s="359">
        <f>E60+E64+E66</f>
        <v>2663983.7399999998</v>
      </c>
      <c r="F59" s="359">
        <f>F60+F64+F66</f>
        <v>2660183.7399999998</v>
      </c>
      <c r="G59" s="359">
        <f t="shared" ref="G59" si="4">G60+G64+G66</f>
        <v>1682622</v>
      </c>
    </row>
    <row r="60" spans="1:7" x14ac:dyDescent="0.2">
      <c r="A60" s="287"/>
      <c r="B60" s="358">
        <v>3111</v>
      </c>
      <c r="C60" s="358" t="s">
        <v>90</v>
      </c>
      <c r="D60" s="359">
        <f>D61+D62</f>
        <v>1655970.9300000002</v>
      </c>
      <c r="E60" s="359">
        <f>E61+E62</f>
        <v>2614876.2999999998</v>
      </c>
      <c r="F60" s="359">
        <f>F61+F62</f>
        <v>2611076.2999999998</v>
      </c>
      <c r="G60" s="359">
        <f t="shared" ref="G60" si="5">G61+G62</f>
        <v>1628846</v>
      </c>
    </row>
    <row r="61" spans="1:7" x14ac:dyDescent="0.2">
      <c r="A61" s="287"/>
      <c r="B61" s="357">
        <v>31111</v>
      </c>
      <c r="C61" s="357" t="s">
        <v>90</v>
      </c>
      <c r="D61" s="355">
        <f>' PRIHODI I RASHODI-izvori'!E15+' PRIHODI I RASHODI-izvori'!E62+' PRIHODI I RASHODI-izvori'!E251+' PRIHODI I RASHODI-izvori'!E357</f>
        <v>1654254.9400000002</v>
      </c>
      <c r="E61" s="355">
        <f>' PRIHODI I RASHODI-izvori'!F15+' PRIHODI I RASHODI-izvori'!F62+' PRIHODI I RASHODI-izvori'!F251+' PRIHODI I RASHODI-izvori'!F357</f>
        <v>2609876.2999999998</v>
      </c>
      <c r="F61" s="355">
        <f>' PRIHODI I RASHODI-izvori'!G15+' PRIHODI I RASHODI-izvori'!G62+' PRIHODI I RASHODI-izvori'!G251+' PRIHODI I RASHODI-izvori'!G357</f>
        <v>2606076.2999999998</v>
      </c>
      <c r="G61" s="355">
        <f>' PRIHODI I RASHODI-izvori'!H15+' PRIHODI I RASHODI-izvori'!H62+' PRIHODI I RASHODI-izvori'!H251+' PRIHODI I RASHODI-izvori'!H357</f>
        <v>1628846</v>
      </c>
    </row>
    <row r="62" spans="1:7" x14ac:dyDescent="0.2">
      <c r="A62" s="287"/>
      <c r="B62" s="357">
        <v>31113</v>
      </c>
      <c r="C62" s="357" t="s">
        <v>381</v>
      </c>
      <c r="D62" s="355">
        <f>' PRIHODI I RASHODI-izvori'!E63</f>
        <v>1715.99</v>
      </c>
      <c r="E62" s="355">
        <f>' PRIHODI I RASHODI-izvori'!F63</f>
        <v>5000</v>
      </c>
      <c r="F62" s="355">
        <f>' PRIHODI I RASHODI-izvori'!G63</f>
        <v>5000</v>
      </c>
      <c r="G62" s="355">
        <f>' PRIHODI I RASHODI-izvori'!H63</f>
        <v>0</v>
      </c>
    </row>
    <row r="63" spans="1:7" hidden="1" x14ac:dyDescent="0.2">
      <c r="A63" s="287"/>
      <c r="B63" s="357">
        <v>3112</v>
      </c>
      <c r="C63" s="357" t="s">
        <v>92</v>
      </c>
      <c r="D63" s="355"/>
      <c r="E63" s="355"/>
      <c r="F63" s="355"/>
      <c r="G63" s="355"/>
    </row>
    <row r="64" spans="1:7" x14ac:dyDescent="0.2">
      <c r="A64" s="287"/>
      <c r="B64" s="358">
        <v>3113</v>
      </c>
      <c r="C64" s="358" t="s">
        <v>94</v>
      </c>
      <c r="D64" s="359">
        <f>D65</f>
        <v>43363.13</v>
      </c>
      <c r="E64" s="359">
        <f>E65</f>
        <v>49107.44</v>
      </c>
      <c r="F64" s="359">
        <f>F65</f>
        <v>49107.44</v>
      </c>
      <c r="G64" s="359">
        <f t="shared" ref="G64" si="6">G65</f>
        <v>53776</v>
      </c>
    </row>
    <row r="65" spans="1:7" x14ac:dyDescent="0.2">
      <c r="A65" s="287"/>
      <c r="B65" s="357">
        <v>31131</v>
      </c>
      <c r="C65" s="357" t="s">
        <v>94</v>
      </c>
      <c r="D65" s="355">
        <f>' PRIHODI I RASHODI-izvori'!E66</f>
        <v>43363.13</v>
      </c>
      <c r="E65" s="355">
        <f>' PRIHODI I RASHODI-izvori'!F66</f>
        <v>49107.44</v>
      </c>
      <c r="F65" s="355">
        <f>' PRIHODI I RASHODI-izvori'!G66</f>
        <v>49107.44</v>
      </c>
      <c r="G65" s="355">
        <f>' PRIHODI I RASHODI-izvori'!H66</f>
        <v>53776</v>
      </c>
    </row>
    <row r="66" spans="1:7" x14ac:dyDescent="0.2">
      <c r="A66" s="287"/>
      <c r="B66" s="358">
        <v>3114</v>
      </c>
      <c r="C66" s="358" t="s">
        <v>211</v>
      </c>
      <c r="D66" s="359">
        <f>D67</f>
        <v>41749.86</v>
      </c>
      <c r="E66" s="359">
        <f>E67</f>
        <v>0</v>
      </c>
      <c r="F66" s="359">
        <f>F67</f>
        <v>0</v>
      </c>
      <c r="G66" s="359">
        <f t="shared" ref="G66" si="7">G67</f>
        <v>0</v>
      </c>
    </row>
    <row r="67" spans="1:7" x14ac:dyDescent="0.2">
      <c r="A67" s="287"/>
      <c r="B67" s="357">
        <v>31141</v>
      </c>
      <c r="C67" s="357" t="s">
        <v>211</v>
      </c>
      <c r="D67" s="355">
        <f>' PRIHODI I RASHODI-izvori'!E68+' PRIHODI I RASHODI-izvori'!E255+' PRIHODI I RASHODI-izvori'!E360</f>
        <v>41749.86</v>
      </c>
      <c r="E67" s="355">
        <f>' PRIHODI I RASHODI-izvori'!F68+' PRIHODI I RASHODI-izvori'!F255+' PRIHODI I RASHODI-izvori'!F360</f>
        <v>0</v>
      </c>
      <c r="F67" s="355">
        <f>' PRIHODI I RASHODI-izvori'!G68+' PRIHODI I RASHODI-izvori'!G255+' PRIHODI I RASHODI-izvori'!G360</f>
        <v>0</v>
      </c>
      <c r="G67" s="355">
        <f>' PRIHODI I RASHODI-izvori'!H68+' PRIHODI I RASHODI-izvori'!H255+' PRIHODI I RASHODI-izvori'!H360</f>
        <v>0</v>
      </c>
    </row>
    <row r="68" spans="1:7" x14ac:dyDescent="0.2">
      <c r="A68" s="287"/>
      <c r="B68" s="358">
        <v>312</v>
      </c>
      <c r="C68" s="358" t="s">
        <v>98</v>
      </c>
      <c r="D68" s="359">
        <f>SUM(D69)</f>
        <v>46531.28</v>
      </c>
      <c r="E68" s="359">
        <f>SUM(E69)</f>
        <v>128191.98000000001</v>
      </c>
      <c r="F68" s="359">
        <f>SUM(F69)</f>
        <v>128191.98000000001</v>
      </c>
      <c r="G68" s="359">
        <f t="shared" ref="G68" si="8">SUM(G69)</f>
        <v>26084.95</v>
      </c>
    </row>
    <row r="69" spans="1:7" x14ac:dyDescent="0.2">
      <c r="A69" s="287"/>
      <c r="B69" s="358">
        <v>3121</v>
      </c>
      <c r="C69" s="358" t="s">
        <v>98</v>
      </c>
      <c r="D69" s="359">
        <f>SUM(D70:D75)</f>
        <v>46531.28</v>
      </c>
      <c r="E69" s="359">
        <f>SUM(E70:E75)</f>
        <v>128191.98000000001</v>
      </c>
      <c r="F69" s="359">
        <f>SUM(F70:F75)</f>
        <v>128191.98000000001</v>
      </c>
      <c r="G69" s="359">
        <f t="shared" ref="G69" si="9">SUM(G70:G75)</f>
        <v>26084.95</v>
      </c>
    </row>
    <row r="70" spans="1:7" x14ac:dyDescent="0.2">
      <c r="A70" s="287"/>
      <c r="B70" s="357">
        <v>31212</v>
      </c>
      <c r="C70" s="357" t="s">
        <v>383</v>
      </c>
      <c r="D70" s="355">
        <f>' PRIHODI I RASHODI-izvori'!E71</f>
        <v>22279.33</v>
      </c>
      <c r="E70" s="355">
        <f>' PRIHODI I RASHODI-izvori'!F71</f>
        <v>13000</v>
      </c>
      <c r="F70" s="355">
        <f>' PRIHODI I RASHODI-izvori'!G71</f>
        <v>13000</v>
      </c>
      <c r="G70" s="355">
        <f>' PRIHODI I RASHODI-izvori'!H71</f>
        <v>10039.91</v>
      </c>
    </row>
    <row r="71" spans="1:7" x14ac:dyDescent="0.2">
      <c r="A71" s="287"/>
      <c r="B71" s="357">
        <v>31213</v>
      </c>
      <c r="C71" s="357" t="s">
        <v>385</v>
      </c>
      <c r="D71" s="355">
        <f>' PRIHODI I RASHODI-izvori'!E72</f>
        <v>22436.17</v>
      </c>
      <c r="E71" s="355">
        <f>' PRIHODI I RASHODI-izvori'!F72</f>
        <v>25000</v>
      </c>
      <c r="F71" s="355">
        <f>' PRIHODI I RASHODI-izvori'!G72</f>
        <v>25000</v>
      </c>
      <c r="G71" s="355">
        <f>' PRIHODI I RASHODI-izvori'!H72</f>
        <v>13062.16</v>
      </c>
    </row>
    <row r="72" spans="1:7" x14ac:dyDescent="0.2">
      <c r="A72" s="287"/>
      <c r="B72" s="357">
        <v>31214</v>
      </c>
      <c r="C72" s="357" t="s">
        <v>384</v>
      </c>
      <c r="D72" s="355">
        <f>' PRIHODI I RASHODI-izvori'!E73</f>
        <v>0</v>
      </c>
      <c r="E72" s="355">
        <f>' PRIHODI I RASHODI-izvori'!F73</f>
        <v>2000</v>
      </c>
      <c r="F72" s="355">
        <f>' PRIHODI I RASHODI-izvori'!G73</f>
        <v>2000</v>
      </c>
      <c r="G72" s="355">
        <f>' PRIHODI I RASHODI-izvori'!H73</f>
        <v>0</v>
      </c>
    </row>
    <row r="73" spans="1:7" x14ac:dyDescent="0.2">
      <c r="A73" s="287"/>
      <c r="B73" s="357">
        <v>31215</v>
      </c>
      <c r="C73" s="357" t="s">
        <v>386</v>
      </c>
      <c r="D73" s="355">
        <f>' PRIHODI I RASHODI-izvori'!E74</f>
        <v>1815.78</v>
      </c>
      <c r="E73" s="355">
        <f>' PRIHODI I RASHODI-izvori'!F74</f>
        <v>3800</v>
      </c>
      <c r="F73" s="355">
        <f>' PRIHODI I RASHODI-izvori'!G74</f>
        <v>3800</v>
      </c>
      <c r="G73" s="355">
        <f>' PRIHODI I RASHODI-izvori'!H74</f>
        <v>2082.88</v>
      </c>
    </row>
    <row r="74" spans="1:7" x14ac:dyDescent="0.2">
      <c r="A74" s="287"/>
      <c r="B74" s="357">
        <v>31216</v>
      </c>
      <c r="C74" s="357" t="s">
        <v>387</v>
      </c>
      <c r="D74" s="355">
        <f>' PRIHODI I RASHODI-izvori'!E75+' PRIHODI I RASHODI-izvori'!E363</f>
        <v>0</v>
      </c>
      <c r="E74" s="355">
        <f>' PRIHODI I RASHODI-izvori'!F75+' PRIHODI I RASHODI-izvori'!F363</f>
        <v>40300</v>
      </c>
      <c r="F74" s="355">
        <f>' PRIHODI I RASHODI-izvori'!G75+' PRIHODI I RASHODI-izvori'!G363</f>
        <v>40300</v>
      </c>
      <c r="G74" s="355">
        <f>' PRIHODI I RASHODI-izvori'!H75+' PRIHODI I RASHODI-izvori'!H363</f>
        <v>900</v>
      </c>
    </row>
    <row r="75" spans="1:7" x14ac:dyDescent="0.2">
      <c r="A75" s="287"/>
      <c r="B75" s="357">
        <v>31219</v>
      </c>
      <c r="C75" s="357" t="s">
        <v>382</v>
      </c>
      <c r="D75" s="355">
        <f>' PRIHODI I RASHODI-izvori'!E76+' PRIHODI I RASHODI-izvori'!E258+' PRIHODI I RASHODI-izvori'!E364</f>
        <v>0</v>
      </c>
      <c r="E75" s="355">
        <f>' PRIHODI I RASHODI-izvori'!F76+' PRIHODI I RASHODI-izvori'!F258+' PRIHODI I RASHODI-izvori'!F364</f>
        <v>44091.98</v>
      </c>
      <c r="F75" s="355">
        <f>' PRIHODI I RASHODI-izvori'!G76+' PRIHODI I RASHODI-izvori'!G258+' PRIHODI I RASHODI-izvori'!G364</f>
        <v>44091.98</v>
      </c>
      <c r="G75" s="355">
        <f>' PRIHODI I RASHODI-izvori'!H76+' PRIHODI I RASHODI-izvori'!H258+' PRIHODI I RASHODI-izvori'!H364</f>
        <v>0</v>
      </c>
    </row>
    <row r="76" spans="1:7" x14ac:dyDescent="0.2">
      <c r="A76" s="287"/>
      <c r="B76" s="358">
        <v>313</v>
      </c>
      <c r="C76" s="358" t="s">
        <v>281</v>
      </c>
      <c r="D76" s="359">
        <f>D77+D78+D80</f>
        <v>271878.62</v>
      </c>
      <c r="E76" s="359">
        <f>E77+E78+E80</f>
        <v>436615.92</v>
      </c>
      <c r="F76" s="359">
        <f>F77+F78+F80</f>
        <v>436615.92</v>
      </c>
      <c r="G76" s="359">
        <f>G77+G78+G80</f>
        <v>274552.55</v>
      </c>
    </row>
    <row r="77" spans="1:7" x14ac:dyDescent="0.2">
      <c r="A77" s="302"/>
      <c r="B77" s="358">
        <v>3131</v>
      </c>
      <c r="C77" s="358" t="s">
        <v>226</v>
      </c>
      <c r="D77" s="355"/>
      <c r="E77" s="355"/>
      <c r="F77" s="355"/>
      <c r="G77" s="355"/>
    </row>
    <row r="78" spans="1:7" x14ac:dyDescent="0.2">
      <c r="A78" s="302"/>
      <c r="B78" s="358">
        <v>3132</v>
      </c>
      <c r="C78" s="358" t="s">
        <v>282</v>
      </c>
      <c r="D78" s="359">
        <f>D79</f>
        <v>271840.88</v>
      </c>
      <c r="E78" s="359">
        <f>E79</f>
        <v>436615.92</v>
      </c>
      <c r="F78" s="359">
        <f>F79</f>
        <v>436615.92</v>
      </c>
      <c r="G78" s="359">
        <f t="shared" ref="G78" si="10">G79</f>
        <v>274552.55</v>
      </c>
    </row>
    <row r="79" spans="1:7" x14ac:dyDescent="0.2">
      <c r="A79" s="287"/>
      <c r="B79" s="357">
        <v>31321</v>
      </c>
      <c r="C79" s="357" t="s">
        <v>282</v>
      </c>
      <c r="D79" s="355">
        <f>' PRIHODI I RASHODI-izvori'!E18+' PRIHODI I RASHODI-izvori'!E79+' PRIHODI I RASHODI-izvori'!E261+' PRIHODI I RASHODI-izvori'!E367</f>
        <v>271840.88</v>
      </c>
      <c r="E79" s="355">
        <f>' PRIHODI I RASHODI-izvori'!F18+' PRIHODI I RASHODI-izvori'!F79+' PRIHODI I RASHODI-izvori'!F261+' PRIHODI I RASHODI-izvori'!F367</f>
        <v>436615.92</v>
      </c>
      <c r="F79" s="355">
        <f>' PRIHODI I RASHODI-izvori'!G18+' PRIHODI I RASHODI-izvori'!G79+' PRIHODI I RASHODI-izvori'!G261+' PRIHODI I RASHODI-izvori'!G367</f>
        <v>436615.92</v>
      </c>
      <c r="G79" s="355">
        <f>' PRIHODI I RASHODI-izvori'!H18+' PRIHODI I RASHODI-izvori'!H79+' PRIHODI I RASHODI-izvori'!H261+' PRIHODI I RASHODI-izvori'!H367</f>
        <v>274552.55</v>
      </c>
    </row>
    <row r="80" spans="1:7" x14ac:dyDescent="0.2">
      <c r="A80" s="287"/>
      <c r="B80" s="358">
        <v>3133</v>
      </c>
      <c r="C80" s="358" t="s">
        <v>571</v>
      </c>
      <c r="D80" s="359">
        <f>D81</f>
        <v>37.74</v>
      </c>
      <c r="E80" s="359">
        <f>E81</f>
        <v>0</v>
      </c>
      <c r="F80" s="359">
        <f>F81</f>
        <v>0</v>
      </c>
      <c r="G80" s="359">
        <f>G81</f>
        <v>0</v>
      </c>
    </row>
    <row r="81" spans="1:7" x14ac:dyDescent="0.2">
      <c r="A81" s="287"/>
      <c r="B81" s="357">
        <v>31332</v>
      </c>
      <c r="C81" s="357" t="s">
        <v>570</v>
      </c>
      <c r="D81" s="355">
        <f>' PRIHODI I RASHODI-izvori'!E81</f>
        <v>37.74</v>
      </c>
      <c r="E81" s="355">
        <f>' PRIHODI I RASHODI-izvori'!F81</f>
        <v>0</v>
      </c>
      <c r="F81" s="355">
        <f>' PRIHODI I RASHODI-izvori'!G81</f>
        <v>0</v>
      </c>
      <c r="G81" s="355">
        <f>' PRIHODI I RASHODI-izvori'!H81</f>
        <v>0</v>
      </c>
    </row>
    <row r="82" spans="1:7" x14ac:dyDescent="0.2">
      <c r="A82" s="287"/>
      <c r="B82" s="377">
        <v>32</v>
      </c>
      <c r="C82" s="377" t="s">
        <v>102</v>
      </c>
      <c r="D82" s="378">
        <f>D83+D95+D120+D151+D154+D158</f>
        <v>495063.84</v>
      </c>
      <c r="E82" s="378">
        <f>E83+E95+E120+E151+E154+E158</f>
        <v>1058244.53</v>
      </c>
      <c r="F82" s="378">
        <f t="shared" ref="F82:G82" si="11">F83+F95+F120+F151+F154+F158</f>
        <v>1006865.44</v>
      </c>
      <c r="G82" s="378">
        <f t="shared" si="11"/>
        <v>410094.21</v>
      </c>
    </row>
    <row r="83" spans="1:7" x14ac:dyDescent="0.2">
      <c r="A83" s="287"/>
      <c r="B83" s="358">
        <v>321</v>
      </c>
      <c r="C83" s="358" t="s">
        <v>103</v>
      </c>
      <c r="D83" s="359">
        <f>D84+D88+D90+D93</f>
        <v>65480.895000000004</v>
      </c>
      <c r="E83" s="359">
        <f>E84+E88+E90+E93</f>
        <v>133321.71000000002</v>
      </c>
      <c r="F83" s="359">
        <f>F84+F88+F90+F93</f>
        <v>135321.71000000002</v>
      </c>
      <c r="G83" s="359">
        <f t="shared" ref="G83" si="12">G84+G88+G90+G93</f>
        <v>56008.499999999993</v>
      </c>
    </row>
    <row r="84" spans="1:7" x14ac:dyDescent="0.2">
      <c r="A84" s="287"/>
      <c r="B84" s="358">
        <v>3211</v>
      </c>
      <c r="C84" s="358" t="s">
        <v>105</v>
      </c>
      <c r="D84" s="359">
        <f>SUM(D85:D87)</f>
        <v>5269.6949999999997</v>
      </c>
      <c r="E84" s="359">
        <f>SUM(E85:E87)</f>
        <v>25357.02</v>
      </c>
      <c r="F84" s="359">
        <f>SUM(F85:F87)</f>
        <v>25957.02</v>
      </c>
      <c r="G84" s="359">
        <f t="shared" ref="G84" si="13">SUM(G85:G87)</f>
        <v>4533.42</v>
      </c>
    </row>
    <row r="85" spans="1:7" x14ac:dyDescent="0.2">
      <c r="A85" s="287"/>
      <c r="B85" s="357">
        <v>32111</v>
      </c>
      <c r="C85" s="357" t="s">
        <v>388</v>
      </c>
      <c r="D85" s="355">
        <f>' PRIHODI I RASHODI-izvori'!E85+' PRIHODI I RASHODI-izvori'!E371+' PRIHODI I RASHODI-izvori'!E450</f>
        <v>3945</v>
      </c>
      <c r="E85" s="355">
        <f>' PRIHODI I RASHODI-izvori'!F85+' PRIHODI I RASHODI-izvori'!F371+' PRIHODI I RASHODI-izvori'!F450</f>
        <v>17016.169999999998</v>
      </c>
      <c r="F85" s="355">
        <f>' PRIHODI I RASHODI-izvori'!G85+' PRIHODI I RASHODI-izvori'!G371+' PRIHODI I RASHODI-izvori'!G450</f>
        <v>16616.169999999998</v>
      </c>
      <c r="G85" s="355">
        <f>' PRIHODI I RASHODI-izvori'!H85+' PRIHODI I RASHODI-izvori'!H371+' PRIHODI I RASHODI-izvori'!H450</f>
        <v>2854.32</v>
      </c>
    </row>
    <row r="86" spans="1:7" x14ac:dyDescent="0.2">
      <c r="A86" s="287"/>
      <c r="B86" s="357">
        <v>32113</v>
      </c>
      <c r="C86" s="357" t="s">
        <v>390</v>
      </c>
      <c r="D86" s="355">
        <f>' PRIHODI I RASHODI-izvori'!E86+' PRIHODI I RASHODI-izvori'!E372</f>
        <v>0</v>
      </c>
      <c r="E86" s="355">
        <f>' PRIHODI I RASHODI-izvori'!F86+' PRIHODI I RASHODI-izvori'!F372</f>
        <v>700</v>
      </c>
      <c r="F86" s="355">
        <f>' PRIHODI I RASHODI-izvori'!G86+' PRIHODI I RASHODI-izvori'!G372</f>
        <v>1300</v>
      </c>
      <c r="G86" s="355">
        <f>' PRIHODI I RASHODI-izvori'!H86+' PRIHODI I RASHODI-izvori'!H372</f>
        <v>827.6</v>
      </c>
    </row>
    <row r="87" spans="1:7" x14ac:dyDescent="0.2">
      <c r="A87" s="287"/>
      <c r="B87" s="357">
        <v>32115</v>
      </c>
      <c r="C87" s="357" t="s">
        <v>391</v>
      </c>
      <c r="D87" s="355">
        <f>' PRIHODI I RASHODI-izvori'!E87+' PRIHODI I RASHODI-izvori'!E265+' PRIHODI I RASHODI-izvori'!E451+' PRIHODI I RASHODI-izvori'!E373-0.01</f>
        <v>1324.6949999999999</v>
      </c>
      <c r="E87" s="355">
        <f>' PRIHODI I RASHODI-izvori'!F87+' PRIHODI I RASHODI-izvori'!F265+' PRIHODI I RASHODI-izvori'!F451+' PRIHODI I RASHODI-izvori'!F373</f>
        <v>7640.8500000000013</v>
      </c>
      <c r="F87" s="355">
        <f>' PRIHODI I RASHODI-izvori'!G87+' PRIHODI I RASHODI-izvori'!G265+' PRIHODI I RASHODI-izvori'!G451+' PRIHODI I RASHODI-izvori'!G373</f>
        <v>8040.8500000000013</v>
      </c>
      <c r="G87" s="355">
        <f>' PRIHODI I RASHODI-izvori'!H87+' PRIHODI I RASHODI-izvori'!H265+' PRIHODI I RASHODI-izvori'!H451+' PRIHODI I RASHODI-izvori'!H373</f>
        <v>851.5</v>
      </c>
    </row>
    <row r="88" spans="1:7" x14ac:dyDescent="0.2">
      <c r="A88" s="287"/>
      <c r="B88" s="358">
        <v>3212</v>
      </c>
      <c r="C88" s="358" t="s">
        <v>389</v>
      </c>
      <c r="D88" s="359">
        <f>D89</f>
        <v>55697.200000000004</v>
      </c>
      <c r="E88" s="359">
        <f>E89</f>
        <v>100465.85</v>
      </c>
      <c r="F88" s="359">
        <f>F89</f>
        <v>100865.85</v>
      </c>
      <c r="G88" s="359">
        <f t="shared" ref="G88" si="14">G89</f>
        <v>48304.579999999994</v>
      </c>
    </row>
    <row r="89" spans="1:7" x14ac:dyDescent="0.2">
      <c r="A89" s="287"/>
      <c r="B89" s="357">
        <v>32121</v>
      </c>
      <c r="C89" s="357" t="s">
        <v>283</v>
      </c>
      <c r="D89" s="355">
        <f>' PRIHODI I RASHODI-izvori'!E89+' PRIHODI I RASHODI-izvori'!E267+' PRIHODI I RASHODI-izvori'!E375</f>
        <v>55697.200000000004</v>
      </c>
      <c r="E89" s="355">
        <f>' PRIHODI I RASHODI-izvori'!F89+' PRIHODI I RASHODI-izvori'!F267+' PRIHODI I RASHODI-izvori'!F375</f>
        <v>100465.85</v>
      </c>
      <c r="F89" s="355">
        <f>' PRIHODI I RASHODI-izvori'!G89+' PRIHODI I RASHODI-izvori'!G267+' PRIHODI I RASHODI-izvori'!G375</f>
        <v>100865.85</v>
      </c>
      <c r="G89" s="355">
        <f>' PRIHODI I RASHODI-izvori'!H89+' PRIHODI I RASHODI-izvori'!H267+' PRIHODI I RASHODI-izvori'!H375</f>
        <v>48304.579999999994</v>
      </c>
    </row>
    <row r="90" spans="1:7" x14ac:dyDescent="0.2">
      <c r="A90" s="287"/>
      <c r="B90" s="358">
        <v>3213</v>
      </c>
      <c r="C90" s="358" t="s">
        <v>109</v>
      </c>
      <c r="D90" s="359">
        <f>SUM(D91:D92)</f>
        <v>4514</v>
      </c>
      <c r="E90" s="359">
        <f>SUM(E91:E92)</f>
        <v>7100.67</v>
      </c>
      <c r="F90" s="359">
        <f>SUM(F91:F92)</f>
        <v>8100.67</v>
      </c>
      <c r="G90" s="359">
        <f t="shared" ref="G90" si="15">SUM(G91:G92)</f>
        <v>3170.5</v>
      </c>
    </row>
    <row r="91" spans="1:7" x14ac:dyDescent="0.2">
      <c r="A91" s="287"/>
      <c r="B91" s="357">
        <v>32131</v>
      </c>
      <c r="C91" s="357" t="s">
        <v>392</v>
      </c>
      <c r="D91" s="355">
        <f>' PRIHODI I RASHODI-izvori'!E91</f>
        <v>480</v>
      </c>
      <c r="E91" s="355">
        <f>' PRIHODI I RASHODI-izvori'!F91</f>
        <v>2200</v>
      </c>
      <c r="F91" s="355">
        <f>' PRIHODI I RASHODI-izvori'!G91</f>
        <v>2200</v>
      </c>
      <c r="G91" s="355">
        <f>' PRIHODI I RASHODI-izvori'!H91</f>
        <v>802.5</v>
      </c>
    </row>
    <row r="92" spans="1:7" x14ac:dyDescent="0.2">
      <c r="A92" s="287"/>
      <c r="B92" s="357">
        <v>32132</v>
      </c>
      <c r="C92" s="357" t="s">
        <v>393</v>
      </c>
      <c r="D92" s="355">
        <f>' PRIHODI I RASHODI-izvori'!E92+' PRIHODI I RASHODI-izvori'!E269+' PRIHODI I RASHODI-izvori'!E377</f>
        <v>4034</v>
      </c>
      <c r="E92" s="355">
        <f>' PRIHODI I RASHODI-izvori'!F92+' PRIHODI I RASHODI-izvori'!F269+' PRIHODI I RASHODI-izvori'!F377</f>
        <v>4900.67</v>
      </c>
      <c r="F92" s="355">
        <f>' PRIHODI I RASHODI-izvori'!G92+' PRIHODI I RASHODI-izvori'!G269+' PRIHODI I RASHODI-izvori'!G377</f>
        <v>5900.67</v>
      </c>
      <c r="G92" s="355">
        <f>' PRIHODI I RASHODI-izvori'!H92+' PRIHODI I RASHODI-izvori'!H269+' PRIHODI I RASHODI-izvori'!H377</f>
        <v>2368</v>
      </c>
    </row>
    <row r="93" spans="1:7" x14ac:dyDescent="0.2">
      <c r="A93" s="287"/>
      <c r="B93" s="358">
        <v>3214</v>
      </c>
      <c r="C93" s="358" t="s">
        <v>111</v>
      </c>
      <c r="D93" s="359">
        <f>D94</f>
        <v>0</v>
      </c>
      <c r="E93" s="359">
        <f>E94</f>
        <v>398.17</v>
      </c>
      <c r="F93" s="359">
        <f>F94</f>
        <v>398.17</v>
      </c>
      <c r="G93" s="359">
        <f t="shared" ref="G93" si="16">G94</f>
        <v>0</v>
      </c>
    </row>
    <row r="94" spans="1:7" x14ac:dyDescent="0.2">
      <c r="A94" s="287"/>
      <c r="B94" s="357">
        <v>32141</v>
      </c>
      <c r="C94" s="357" t="s">
        <v>394</v>
      </c>
      <c r="D94" s="355">
        <f>' PRIHODI I RASHODI-izvori'!E94</f>
        <v>0</v>
      </c>
      <c r="E94" s="355">
        <f>' PRIHODI I RASHODI-izvori'!F94</f>
        <v>398.17</v>
      </c>
      <c r="F94" s="355">
        <f>' PRIHODI I RASHODI-izvori'!G94</f>
        <v>398.17</v>
      </c>
      <c r="G94" s="355">
        <f>' PRIHODI I RASHODI-izvori'!H94</f>
        <v>0</v>
      </c>
    </row>
    <row r="95" spans="1:7" x14ac:dyDescent="0.2">
      <c r="A95" s="287"/>
      <c r="B95" s="358">
        <v>322</v>
      </c>
      <c r="C95" s="358" t="s">
        <v>113</v>
      </c>
      <c r="D95" s="359">
        <f>D96+D102+D106+D111+D116+D118</f>
        <v>244625.49000000002</v>
      </c>
      <c r="E95" s="359">
        <f>E96+E102+E106+E111+E116+E118</f>
        <v>492715.5</v>
      </c>
      <c r="F95" s="359">
        <f>F96+F102+F106+F111+F116+F118</f>
        <v>181956.2</v>
      </c>
      <c r="G95" s="359">
        <f t="shared" ref="G95" si="17">G96+G102+G106+G111+G116+G118</f>
        <v>70124.319999999992</v>
      </c>
    </row>
    <row r="96" spans="1:7" x14ac:dyDescent="0.2">
      <c r="A96" s="287"/>
      <c r="B96" s="358">
        <v>3221</v>
      </c>
      <c r="C96" s="358" t="s">
        <v>115</v>
      </c>
      <c r="D96" s="359">
        <f>SUM(D97:D101)</f>
        <v>18193.560000000001</v>
      </c>
      <c r="E96" s="359">
        <f>SUM(E97:E101)</f>
        <v>30501.820000000003</v>
      </c>
      <c r="F96" s="359">
        <f>SUM(F97:F101)</f>
        <v>36501.820000000007</v>
      </c>
      <c r="G96" s="359">
        <f t="shared" ref="G96" si="18">SUM(G97:G101)</f>
        <v>14815.94</v>
      </c>
    </row>
    <row r="97" spans="1:7" x14ac:dyDescent="0.2">
      <c r="A97" s="287"/>
      <c r="B97" s="357">
        <v>32211</v>
      </c>
      <c r="C97" s="357" t="s">
        <v>395</v>
      </c>
      <c r="D97" s="355">
        <f>' PRIHODI I RASHODI-izvori'!E97+' PRIHODI I RASHODI-izvori'!E273</f>
        <v>9747.7300000000014</v>
      </c>
      <c r="E97" s="355">
        <f>' PRIHODI I RASHODI-izvori'!F97+' PRIHODI I RASHODI-izvori'!F273</f>
        <v>12639.19</v>
      </c>
      <c r="F97" s="355">
        <f>' PRIHODI I RASHODI-izvori'!G97+' PRIHODI I RASHODI-izvori'!G273+' PRIHODI I RASHODI-izvori'!G380</f>
        <v>15439.19</v>
      </c>
      <c r="G97" s="355">
        <f>' PRIHODI I RASHODI-izvori'!H22+' PRIHODI I RASHODI-izvori'!H97+' PRIHODI I RASHODI-izvori'!H273+' PRIHODI I RASHODI-izvori'!H380</f>
        <v>5739.08</v>
      </c>
    </row>
    <row r="98" spans="1:7" x14ac:dyDescent="0.2">
      <c r="A98" s="287"/>
      <c r="B98" s="357">
        <v>32212</v>
      </c>
      <c r="C98" s="357" t="s">
        <v>396</v>
      </c>
      <c r="D98" s="355">
        <f>' PRIHODI I RASHODI-izvori'!E98</f>
        <v>0</v>
      </c>
      <c r="E98" s="355">
        <f>' PRIHODI I RASHODI-izvori'!F98</f>
        <v>500</v>
      </c>
      <c r="F98" s="355">
        <f>' PRIHODI I RASHODI-izvori'!G98</f>
        <v>500</v>
      </c>
      <c r="G98" s="355">
        <f>' PRIHODI I RASHODI-izvori'!H98</f>
        <v>270</v>
      </c>
    </row>
    <row r="99" spans="1:7" x14ac:dyDescent="0.2">
      <c r="A99" s="287"/>
      <c r="B99" s="357">
        <v>32214</v>
      </c>
      <c r="C99" s="357" t="s">
        <v>397</v>
      </c>
      <c r="D99" s="355">
        <f>' PRIHODI I RASHODI-izvori'!E99</f>
        <v>6750.85</v>
      </c>
      <c r="E99" s="355">
        <f>' PRIHODI I RASHODI-izvori'!F99</f>
        <v>15000</v>
      </c>
      <c r="F99" s="355">
        <f>' PRIHODI I RASHODI-izvori'!G99+' PRIHODI I RASHODI-izvori'!G381</f>
        <v>17000</v>
      </c>
      <c r="G99" s="355">
        <f>' PRIHODI I RASHODI-izvori'!H23+' PRIHODI I RASHODI-izvori'!H99+' PRIHODI I RASHODI-izvori'!H381</f>
        <v>5482.1</v>
      </c>
    </row>
    <row r="100" spans="1:7" x14ac:dyDescent="0.2">
      <c r="A100" s="287"/>
      <c r="B100" s="357">
        <v>32215</v>
      </c>
      <c r="C100" s="357" t="s">
        <v>398</v>
      </c>
      <c r="D100" s="355">
        <f>' PRIHODI I RASHODI-izvori'!E100</f>
        <v>0</v>
      </c>
      <c r="E100" s="355">
        <f>' PRIHODI I RASHODI-izvori'!F100</f>
        <v>700</v>
      </c>
      <c r="F100" s="355">
        <f>' PRIHODI I RASHODI-izvori'!G100</f>
        <v>700</v>
      </c>
      <c r="G100" s="355">
        <f>' PRIHODI I RASHODI-izvori'!H100</f>
        <v>0</v>
      </c>
    </row>
    <row r="101" spans="1:7" x14ac:dyDescent="0.2">
      <c r="A101" s="287"/>
      <c r="B101" s="357">
        <v>32219</v>
      </c>
      <c r="C101" s="357" t="s">
        <v>399</v>
      </c>
      <c r="D101" s="355">
        <f>' PRIHODI I RASHODI-izvori'!E101+' PRIHODI I RASHODI-izvori'!E382</f>
        <v>1694.98</v>
      </c>
      <c r="E101" s="355">
        <f>' PRIHODI I RASHODI-izvori'!F101+' PRIHODI I RASHODI-izvori'!F382</f>
        <v>1662.630000000001</v>
      </c>
      <c r="F101" s="355">
        <f>' PRIHODI I RASHODI-izvori'!G101+' PRIHODI I RASHODI-izvori'!G382</f>
        <v>2862.630000000001</v>
      </c>
      <c r="G101" s="355">
        <f>' PRIHODI I RASHODI-izvori'!H101+' PRIHODI I RASHODI-izvori'!H382</f>
        <v>3324.76</v>
      </c>
    </row>
    <row r="102" spans="1:7" x14ac:dyDescent="0.2">
      <c r="A102" s="287"/>
      <c r="B102" s="358">
        <v>3222</v>
      </c>
      <c r="C102" s="358" t="s">
        <v>117</v>
      </c>
      <c r="D102" s="359">
        <f>SUM(D103:D105)</f>
        <v>127549</v>
      </c>
      <c r="E102" s="359">
        <f>SUM(E103:E105)</f>
        <v>201075.05</v>
      </c>
      <c r="F102" s="359">
        <f>SUM(F103:F105)</f>
        <v>0</v>
      </c>
      <c r="G102" s="359">
        <f t="shared" ref="G102" si="19">SUM(G103:G105)</f>
        <v>0</v>
      </c>
    </row>
    <row r="103" spans="1:7" x14ac:dyDescent="0.2">
      <c r="A103" s="287"/>
      <c r="B103" s="357">
        <v>32221</v>
      </c>
      <c r="C103" s="357" t="s">
        <v>400</v>
      </c>
      <c r="D103" s="355">
        <f>' PRIHODI I RASHODI-izvori'!E103+' PRIHODI I RASHODI-izvori'!E275</f>
        <v>115763.72</v>
      </c>
      <c r="E103" s="355">
        <f>' PRIHODI I RASHODI-izvori'!F103+' PRIHODI I RASHODI-izvori'!F275</f>
        <v>177000</v>
      </c>
      <c r="F103" s="355">
        <f>' PRIHODI I RASHODI-izvori'!G103+' PRIHODI I RASHODI-izvori'!G275+' PRIHODI I RASHODI-izvori'!G384</f>
        <v>0</v>
      </c>
      <c r="G103" s="355">
        <f>' PRIHODI I RASHODI-izvori'!H103+' PRIHODI I RASHODI-izvori'!H275+' PRIHODI I RASHODI-izvori'!H384</f>
        <v>0</v>
      </c>
    </row>
    <row r="104" spans="1:7" x14ac:dyDescent="0.2">
      <c r="A104" s="287"/>
      <c r="B104" s="357">
        <v>32226</v>
      </c>
      <c r="C104" s="357" t="s">
        <v>401</v>
      </c>
      <c r="D104" s="355">
        <f>' PRIHODI I RASHODI-izvori'!E104+' PRIHODI I RASHODI-izvori'!E276</f>
        <v>11668.980000000001</v>
      </c>
      <c r="E104" s="355">
        <f>' PRIHODI I RASHODI-izvori'!F104+' PRIHODI I RASHODI-izvori'!F276</f>
        <v>22954.21</v>
      </c>
      <c r="F104" s="355">
        <f>' PRIHODI I RASHODI-izvori'!G104+' PRIHODI I RASHODI-izvori'!G276</f>
        <v>0</v>
      </c>
      <c r="G104" s="355">
        <f>' PRIHODI I RASHODI-izvori'!H104+' PRIHODI I RASHODI-izvori'!H276</f>
        <v>0</v>
      </c>
    </row>
    <row r="105" spans="1:7" x14ac:dyDescent="0.2">
      <c r="A105" s="287"/>
      <c r="B105" s="357">
        <v>32229</v>
      </c>
      <c r="C105" s="357" t="s">
        <v>402</v>
      </c>
      <c r="D105" s="355">
        <f>' PRIHODI I RASHODI-izvori'!E105</f>
        <v>116.3</v>
      </c>
      <c r="E105" s="355">
        <f>' PRIHODI I RASHODI-izvori'!F105</f>
        <v>1120.8399999999965</v>
      </c>
      <c r="F105" s="355">
        <f>' PRIHODI I RASHODI-izvori'!G105</f>
        <v>0</v>
      </c>
      <c r="G105" s="355">
        <f>' PRIHODI I RASHODI-izvori'!H105</f>
        <v>0</v>
      </c>
    </row>
    <row r="106" spans="1:7" x14ac:dyDescent="0.2">
      <c r="A106" s="287"/>
      <c r="B106" s="358">
        <v>3223</v>
      </c>
      <c r="C106" s="358" t="s">
        <v>119</v>
      </c>
      <c r="D106" s="359">
        <f>SUM(D107:D110)</f>
        <v>87448.639999999999</v>
      </c>
      <c r="E106" s="359">
        <f>SUM(E107:E110)</f>
        <v>221989.61</v>
      </c>
      <c r="F106" s="359">
        <f>SUM(F107:F110)</f>
        <v>106305.36</v>
      </c>
      <c r="G106" s="359">
        <f t="shared" ref="G106" si="20">SUM(G107:G110)</f>
        <v>49861.06</v>
      </c>
    </row>
    <row r="107" spans="1:7" x14ac:dyDescent="0.2">
      <c r="A107" s="287"/>
      <c r="B107" s="357">
        <v>32231</v>
      </c>
      <c r="C107" s="357" t="s">
        <v>404</v>
      </c>
      <c r="D107" s="355">
        <f>' PRIHODI I RASHODI-izvori'!E107</f>
        <v>13304.5</v>
      </c>
      <c r="E107" s="355">
        <f>' PRIHODI I RASHODI-izvori'!F107</f>
        <v>29000</v>
      </c>
      <c r="F107" s="355">
        <f>' PRIHODI I RASHODI-izvori'!G107</f>
        <v>29000</v>
      </c>
      <c r="G107" s="355">
        <f>' PRIHODI I RASHODI-izvori'!H107+' PRIHODI I RASHODI-izvori'!H386</f>
        <v>14059.48</v>
      </c>
    </row>
    <row r="108" spans="1:7" x14ac:dyDescent="0.2">
      <c r="A108" s="287"/>
      <c r="B108" s="357">
        <v>32232</v>
      </c>
      <c r="C108" s="357" t="s">
        <v>405</v>
      </c>
      <c r="D108" s="355">
        <f>' PRIHODI I RASHODI-izvori'!E108</f>
        <v>1296.74</v>
      </c>
      <c r="E108" s="355">
        <f>' PRIHODI I RASHODI-izvori'!F108</f>
        <v>2000</v>
      </c>
      <c r="F108" s="355">
        <f>' PRIHODI I RASHODI-izvori'!G108</f>
        <v>2000</v>
      </c>
      <c r="G108" s="355">
        <f>' PRIHODI I RASHODI-izvori'!H108</f>
        <v>1611.95</v>
      </c>
    </row>
    <row r="109" spans="1:7" x14ac:dyDescent="0.2">
      <c r="A109" s="287"/>
      <c r="B109" s="357">
        <v>32233</v>
      </c>
      <c r="C109" s="357" t="s">
        <v>406</v>
      </c>
      <c r="D109" s="355">
        <f>' PRIHODI I RASHODI-izvori'!E109+' PRIHODI I RASHODI-izvori'!E278</f>
        <v>19580.329999999998</v>
      </c>
      <c r="E109" s="355">
        <f>' PRIHODI I RASHODI-izvori'!F109+' PRIHODI I RASHODI-izvori'!F278</f>
        <v>49500</v>
      </c>
      <c r="F109" s="355">
        <f>' PRIHODI I RASHODI-izvori'!G109+' PRIHODI I RASHODI-izvori'!G278</f>
        <v>49500</v>
      </c>
      <c r="G109" s="355">
        <f>' PRIHODI I RASHODI-izvori'!H109+' PRIHODI I RASHODI-izvori'!H278+' PRIHODI I RASHODI-izvori'!H387</f>
        <v>23496.74</v>
      </c>
    </row>
    <row r="110" spans="1:7" x14ac:dyDescent="0.2">
      <c r="A110" s="287"/>
      <c r="B110" s="357">
        <v>32234</v>
      </c>
      <c r="C110" s="357" t="s">
        <v>403</v>
      </c>
      <c r="D110" s="355">
        <f>' PRIHODI I RASHODI-izvori'!E110+' PRIHODI I RASHODI-izvori'!E279+' PRIHODI I RASHODI-izvori'!E388</f>
        <v>53267.07</v>
      </c>
      <c r="E110" s="355">
        <f>' PRIHODI I RASHODI-izvori'!F110+' PRIHODI I RASHODI-izvori'!F279+' PRIHODI I RASHODI-izvori'!F388</f>
        <v>141489.60999999999</v>
      </c>
      <c r="F110" s="355">
        <f>' PRIHODI I RASHODI-izvori'!G110+' PRIHODI I RASHODI-izvori'!G279+' PRIHODI I RASHODI-izvori'!G388</f>
        <v>25805.360000000001</v>
      </c>
      <c r="G110" s="355">
        <f>' PRIHODI I RASHODI-izvori'!H110+' PRIHODI I RASHODI-izvori'!H279+' PRIHODI I RASHODI-izvori'!H388</f>
        <v>10692.89</v>
      </c>
    </row>
    <row r="111" spans="1:7" x14ac:dyDescent="0.2">
      <c r="A111" s="287"/>
      <c r="B111" s="358">
        <v>3224</v>
      </c>
      <c r="C111" s="358" t="s">
        <v>284</v>
      </c>
      <c r="D111" s="359">
        <f>SUM(D112:D115)</f>
        <v>2876.05</v>
      </c>
      <c r="E111" s="359">
        <f>SUM(E112:E115)</f>
        <v>23222.28</v>
      </c>
      <c r="F111" s="359">
        <f>SUM(F112:F115)</f>
        <v>23222.28</v>
      </c>
      <c r="G111" s="359">
        <f t="shared" ref="G111" si="21">SUM(G112:G115)</f>
        <v>3400.4500000000003</v>
      </c>
    </row>
    <row r="112" spans="1:7" x14ac:dyDescent="0.2">
      <c r="A112" s="287"/>
      <c r="B112" s="357">
        <v>32241</v>
      </c>
      <c r="C112" s="357" t="s">
        <v>407</v>
      </c>
      <c r="D112" s="355">
        <f>' PRIHODI I RASHODI-izvori'!E25+' PRIHODI I RASHODI-izvori'!E112+' PRIHODI I RASHODI-izvori'!E281+' PRIHODI I RASHODI-izvori'!E455</f>
        <v>2410.7800000000002</v>
      </c>
      <c r="E112" s="355">
        <f>' PRIHODI I RASHODI-izvori'!F25+' PRIHODI I RASHODI-izvori'!F112+' PRIHODI I RASHODI-izvori'!F281+' PRIHODI I RASHODI-izvori'!F455</f>
        <v>17150</v>
      </c>
      <c r="F112" s="355">
        <f>' PRIHODI I RASHODI-izvori'!G25+' PRIHODI I RASHODI-izvori'!G112+' PRIHODI I RASHODI-izvori'!G281+' PRIHODI I RASHODI-izvori'!G455</f>
        <v>17150</v>
      </c>
      <c r="G112" s="355">
        <f>' PRIHODI I RASHODI-izvori'!H25+' PRIHODI I RASHODI-izvori'!H112+' PRIHODI I RASHODI-izvori'!H281+' PRIHODI I RASHODI-izvori'!H455</f>
        <v>848.53</v>
      </c>
    </row>
    <row r="113" spans="1:7" x14ac:dyDescent="0.2">
      <c r="A113" s="287"/>
      <c r="B113" s="357">
        <v>32242</v>
      </c>
      <c r="C113" s="357" t="s">
        <v>409</v>
      </c>
      <c r="D113" s="355">
        <f>' PRIHODI I RASHODI-izvori'!E113</f>
        <v>145</v>
      </c>
      <c r="E113" s="355">
        <f>' PRIHODI I RASHODI-izvori'!F113</f>
        <v>3000</v>
      </c>
      <c r="F113" s="355">
        <f>' PRIHODI I RASHODI-izvori'!G113</f>
        <v>3000</v>
      </c>
      <c r="G113" s="355">
        <f>' PRIHODI I RASHODI-izvori'!H113</f>
        <v>2487.88</v>
      </c>
    </row>
    <row r="114" spans="1:7" x14ac:dyDescent="0.2">
      <c r="A114" s="287"/>
      <c r="B114" s="357">
        <v>32243</v>
      </c>
      <c r="C114" s="357" t="s">
        <v>408</v>
      </c>
      <c r="D114" s="355">
        <f>' PRIHODI I RASHODI-izvori'!E114</f>
        <v>320.27</v>
      </c>
      <c r="E114" s="355">
        <f>' PRIHODI I RASHODI-izvori'!F114</f>
        <v>2500</v>
      </c>
      <c r="F114" s="355">
        <f>' PRIHODI I RASHODI-izvori'!G114</f>
        <v>2500</v>
      </c>
      <c r="G114" s="355">
        <f>' PRIHODI I RASHODI-izvori'!H114</f>
        <v>50.78</v>
      </c>
    </row>
    <row r="115" spans="1:7" x14ac:dyDescent="0.2">
      <c r="A115" s="287"/>
      <c r="B115" s="357">
        <v>32244</v>
      </c>
      <c r="C115" s="357" t="s">
        <v>410</v>
      </c>
      <c r="D115" s="355">
        <f>' PRIHODI I RASHODI-izvori'!E115</f>
        <v>0</v>
      </c>
      <c r="E115" s="355">
        <f>' PRIHODI I RASHODI-izvori'!F115</f>
        <v>572.28000000000065</v>
      </c>
      <c r="F115" s="355">
        <f>' PRIHODI I RASHODI-izvori'!G115</f>
        <v>572.28000000000065</v>
      </c>
      <c r="G115" s="355">
        <f>' PRIHODI I RASHODI-izvori'!H115</f>
        <v>13.26</v>
      </c>
    </row>
    <row r="116" spans="1:7" x14ac:dyDescent="0.2">
      <c r="A116" s="287"/>
      <c r="B116" s="358">
        <v>3225</v>
      </c>
      <c r="C116" s="358" t="s">
        <v>123</v>
      </c>
      <c r="D116" s="359">
        <f>SUM(D117)</f>
        <v>5218.32</v>
      </c>
      <c r="E116" s="359">
        <f>SUM(E117)</f>
        <v>6636.14</v>
      </c>
      <c r="F116" s="359">
        <f>SUM(F117)</f>
        <v>6636.14</v>
      </c>
      <c r="G116" s="359">
        <f t="shared" ref="G116" si="22">SUM(G117)</f>
        <v>44.37</v>
      </c>
    </row>
    <row r="117" spans="1:7" x14ac:dyDescent="0.2">
      <c r="A117" s="287"/>
      <c r="B117" s="357">
        <v>32251</v>
      </c>
      <c r="C117" s="357" t="s">
        <v>123</v>
      </c>
      <c r="D117" s="355">
        <f>' PRIHODI I RASHODI-izvori'!E117+' PRIHODI I RASHODI-izvori'!E283</f>
        <v>5218.32</v>
      </c>
      <c r="E117" s="355">
        <f>' PRIHODI I RASHODI-izvori'!F117+' PRIHODI I RASHODI-izvori'!F283</f>
        <v>6636.14</v>
      </c>
      <c r="F117" s="355">
        <f>' PRIHODI I RASHODI-izvori'!G117+' PRIHODI I RASHODI-izvori'!G283</f>
        <v>6636.14</v>
      </c>
      <c r="G117" s="355">
        <f>' PRIHODI I RASHODI-izvori'!H117+' PRIHODI I RASHODI-izvori'!H283</f>
        <v>44.37</v>
      </c>
    </row>
    <row r="118" spans="1:7" x14ac:dyDescent="0.2">
      <c r="A118" s="287"/>
      <c r="B118" s="358">
        <v>3227</v>
      </c>
      <c r="C118" s="358" t="s">
        <v>125</v>
      </c>
      <c r="D118" s="359">
        <f>SUM(D119)</f>
        <v>3339.92</v>
      </c>
      <c r="E118" s="359">
        <f>SUM(E119)</f>
        <v>9290.6</v>
      </c>
      <c r="F118" s="359">
        <f>SUM(F119)</f>
        <v>9290.6</v>
      </c>
      <c r="G118" s="359">
        <f t="shared" ref="G118" si="23">SUM(G119)</f>
        <v>2002.5</v>
      </c>
    </row>
    <row r="119" spans="1:7" x14ac:dyDescent="0.2">
      <c r="A119" s="287"/>
      <c r="B119" s="357">
        <v>32271</v>
      </c>
      <c r="C119" s="357" t="s">
        <v>125</v>
      </c>
      <c r="D119" s="355">
        <f>' PRIHODI I RASHODI-izvori'!E119</f>
        <v>3339.92</v>
      </c>
      <c r="E119" s="355">
        <f>' PRIHODI I RASHODI-izvori'!F119</f>
        <v>9290.6</v>
      </c>
      <c r="F119" s="355">
        <f>' PRIHODI I RASHODI-izvori'!G119</f>
        <v>9290.6</v>
      </c>
      <c r="G119" s="355">
        <f>' PRIHODI I RASHODI-izvori'!H119</f>
        <v>2002.5</v>
      </c>
    </row>
    <row r="120" spans="1:7" x14ac:dyDescent="0.2">
      <c r="A120" s="287"/>
      <c r="B120" s="358">
        <v>323</v>
      </c>
      <c r="C120" s="358" t="s">
        <v>127</v>
      </c>
      <c r="D120" s="359">
        <f>D121+D125+D129+D131+D136+D138+D140+D145+D147</f>
        <v>160196.815</v>
      </c>
      <c r="E120" s="359">
        <f>E121+E125+E129+E131+E136+E138+E140+E145+E147</f>
        <v>377379.05</v>
      </c>
      <c r="F120" s="359">
        <f>F121+F125+F129+F131+F136+F138+F140+F145+F147</f>
        <v>387805.05</v>
      </c>
      <c r="G120" s="359">
        <f t="shared" ref="G120" si="24">G121+G125+G129+G131+G136+G138+G140+G145+G147</f>
        <v>137523.54999999999</v>
      </c>
    </row>
    <row r="121" spans="1:7" x14ac:dyDescent="0.2">
      <c r="A121" s="287"/>
      <c r="B121" s="358">
        <v>3231</v>
      </c>
      <c r="C121" s="358" t="s">
        <v>285</v>
      </c>
      <c r="D121" s="359">
        <f>SUM(D122:D124)</f>
        <v>10203.15</v>
      </c>
      <c r="E121" s="359">
        <f>SUM(E122:E124)</f>
        <v>21235.65</v>
      </c>
      <c r="F121" s="359">
        <f t="shared" ref="F121:G121" si="25">SUM(F122:F124)</f>
        <v>27035.65</v>
      </c>
      <c r="G121" s="359">
        <f t="shared" si="25"/>
        <v>10173.380000000001</v>
      </c>
    </row>
    <row r="122" spans="1:7" x14ac:dyDescent="0.2">
      <c r="A122" s="287"/>
      <c r="B122" s="357">
        <v>32311</v>
      </c>
      <c r="C122" s="357" t="s">
        <v>411</v>
      </c>
      <c r="D122" s="355">
        <f>' PRIHODI I RASHODI-izvori'!E122+' PRIHODI I RASHODI-izvori'!E392</f>
        <v>9912.67</v>
      </c>
      <c r="E122" s="355">
        <f>' PRIHODI I RASHODI-izvori'!F122+' PRIHODI I RASHODI-izvori'!F392</f>
        <v>19500</v>
      </c>
      <c r="F122" s="355">
        <f>' PRIHODI I RASHODI-izvori'!G28+' PRIHODI I RASHODI-izvori'!G122+' PRIHODI I RASHODI-izvori'!G392</f>
        <v>22500</v>
      </c>
      <c r="G122" s="355">
        <f>' PRIHODI I RASHODI-izvori'!H28+' PRIHODI I RASHODI-izvori'!H122+' PRIHODI I RASHODI-izvori'!H392</f>
        <v>9238.36</v>
      </c>
    </row>
    <row r="123" spans="1:7" x14ac:dyDescent="0.2">
      <c r="A123" s="287"/>
      <c r="B123" s="507">
        <v>32313</v>
      </c>
      <c r="C123" s="506" t="s">
        <v>412</v>
      </c>
      <c r="D123" s="355">
        <f>' PRIHODI I RASHODI-izvori'!E123</f>
        <v>290.48</v>
      </c>
      <c r="E123" s="355">
        <f>' PRIHODI I RASHODI-izvori'!F123</f>
        <v>1735.6500000000015</v>
      </c>
      <c r="F123" s="355">
        <f>' PRIHODI I RASHODI-izvori'!G123</f>
        <v>1735.65</v>
      </c>
      <c r="G123" s="355">
        <f>' PRIHODI I RASHODI-izvori'!H123</f>
        <v>297.52</v>
      </c>
    </row>
    <row r="124" spans="1:7" x14ac:dyDescent="0.2">
      <c r="A124" s="287"/>
      <c r="B124" s="505">
        <v>32319</v>
      </c>
      <c r="C124" s="506" t="s">
        <v>592</v>
      </c>
      <c r="D124" s="355">
        <f>' PRIHODI I RASHODI-izvori'!E124+' PRIHODI I RASHODI-izvori'!E393</f>
        <v>0</v>
      </c>
      <c r="E124" s="355">
        <f>' PRIHODI I RASHODI-izvori'!F124+' PRIHODI I RASHODI-izvori'!F393</f>
        <v>0</v>
      </c>
      <c r="F124" s="355">
        <f>' PRIHODI I RASHODI-izvori'!G124+' PRIHODI I RASHODI-izvori'!G393</f>
        <v>2800</v>
      </c>
      <c r="G124" s="355">
        <f>' PRIHODI I RASHODI-izvori'!H124+' PRIHODI I RASHODI-izvori'!H393</f>
        <v>637.5</v>
      </c>
    </row>
    <row r="125" spans="1:7" x14ac:dyDescent="0.2">
      <c r="A125" s="287"/>
      <c r="B125" s="508">
        <v>3232</v>
      </c>
      <c r="C125" s="509" t="s">
        <v>131</v>
      </c>
      <c r="D125" s="359">
        <f>SUM(D126:D128)</f>
        <v>44439.38</v>
      </c>
      <c r="E125" s="359">
        <f>SUM(E126:E128)</f>
        <v>113271.3</v>
      </c>
      <c r="F125" s="359">
        <f>SUM(F126:F128)</f>
        <v>104117.3</v>
      </c>
      <c r="G125" s="359">
        <f t="shared" ref="G125" si="26">SUM(G126:G128)</f>
        <v>23878.53</v>
      </c>
    </row>
    <row r="126" spans="1:7" x14ac:dyDescent="0.2">
      <c r="A126" s="287"/>
      <c r="B126" s="507">
        <v>32321</v>
      </c>
      <c r="C126" s="357" t="s">
        <v>414</v>
      </c>
      <c r="D126" s="355">
        <f>' PRIHODI I RASHODI-izvori'!E30+' PRIHODI I RASHODI-izvori'!E126+' PRIHODI I RASHODI-izvori'!E289+' PRIHODI I RASHODI-izvori'!E458</f>
        <v>10213.58</v>
      </c>
      <c r="E126" s="355">
        <f>' PRIHODI I RASHODI-izvori'!F30+' PRIHODI I RASHODI-izvori'!F126+' PRIHODI I RASHODI-izvori'!F289+' PRIHODI I RASHODI-izvori'!F458</f>
        <v>47470</v>
      </c>
      <c r="F126" s="355">
        <f>' PRIHODI I RASHODI-izvori'!G30+' PRIHODI I RASHODI-izvori'!G126+' PRIHODI I RASHODI-izvori'!G289+' PRIHODI I RASHODI-izvori'!G458</f>
        <v>51360</v>
      </c>
      <c r="G126" s="355">
        <f>' PRIHODI I RASHODI-izvori'!H30+' PRIHODI I RASHODI-izvori'!H126+' PRIHODI I RASHODI-izvori'!H289+' PRIHODI I RASHODI-izvori'!H478</f>
        <v>8328.1200000000008</v>
      </c>
    </row>
    <row r="127" spans="1:7" x14ac:dyDescent="0.2">
      <c r="A127" s="287"/>
      <c r="B127" s="507">
        <v>32322</v>
      </c>
      <c r="C127" s="357" t="s">
        <v>415</v>
      </c>
      <c r="D127" s="355">
        <f>' PRIHODI I RASHODI-izvori'!E31+' PRIHODI I RASHODI-izvori'!E127+' PRIHODI I RASHODI-izvori'!E290</f>
        <v>7163.92</v>
      </c>
      <c r="E127" s="355">
        <f>' PRIHODI I RASHODI-izvori'!F31+' PRIHODI I RASHODI-izvori'!F127+' PRIHODI I RASHODI-izvori'!F290</f>
        <v>26360</v>
      </c>
      <c r="F127" s="355">
        <f>' PRIHODI I RASHODI-izvori'!G31+' PRIHODI I RASHODI-izvori'!G127+' PRIHODI I RASHODI-izvori'!G290</f>
        <v>20250</v>
      </c>
      <c r="G127" s="355">
        <f>' PRIHODI I RASHODI-izvori'!H31+' PRIHODI I RASHODI-izvori'!H127+' PRIHODI I RASHODI-izvori'!H290</f>
        <v>4861.83</v>
      </c>
    </row>
    <row r="128" spans="1:7" x14ac:dyDescent="0.2">
      <c r="A128" s="287"/>
      <c r="B128" s="357">
        <v>32323</v>
      </c>
      <c r="C128" s="357" t="s">
        <v>413</v>
      </c>
      <c r="D128" s="355">
        <f>' PRIHODI I RASHODI-izvori'!E32+' PRIHODI I RASHODI-izvori'!E128+' PRIHODI I RASHODI-izvori'!E291</f>
        <v>27061.879999999997</v>
      </c>
      <c r="E128" s="355">
        <f>' PRIHODI I RASHODI-izvori'!F32+' PRIHODI I RASHODI-izvori'!F128+' PRIHODI I RASHODI-izvori'!F291</f>
        <v>39441.300000000003</v>
      </c>
      <c r="F128" s="355">
        <f>' PRIHODI I RASHODI-izvori'!G32+' PRIHODI I RASHODI-izvori'!G128+' PRIHODI I RASHODI-izvori'!G291</f>
        <v>32507.300000000003</v>
      </c>
      <c r="G128" s="355">
        <f>' PRIHODI I RASHODI-izvori'!H32+' PRIHODI I RASHODI-izvori'!H128+' PRIHODI I RASHODI-izvori'!H291</f>
        <v>10688.58</v>
      </c>
    </row>
    <row r="129" spans="1:7" x14ac:dyDescent="0.2">
      <c r="A129" s="287"/>
      <c r="B129" s="358">
        <v>3233</v>
      </c>
      <c r="C129" s="358" t="s">
        <v>133</v>
      </c>
      <c r="D129" s="359">
        <f>SUM(D130)</f>
        <v>0</v>
      </c>
      <c r="E129" s="359">
        <f>SUM(E130)</f>
        <v>663.61</v>
      </c>
      <c r="F129" s="359">
        <f>SUM(F130)</f>
        <v>663.61</v>
      </c>
      <c r="G129" s="359">
        <f t="shared" ref="G129" si="27">SUM(G130)</f>
        <v>0</v>
      </c>
    </row>
    <row r="130" spans="1:7" x14ac:dyDescent="0.2">
      <c r="A130" s="287"/>
      <c r="B130" s="357">
        <v>32339</v>
      </c>
      <c r="C130" s="357" t="s">
        <v>416</v>
      </c>
      <c r="D130" s="355">
        <f>' PRIHODI I RASHODI-izvori'!E130</f>
        <v>0</v>
      </c>
      <c r="E130" s="355">
        <f>' PRIHODI I RASHODI-izvori'!F130</f>
        <v>663.61</v>
      </c>
      <c r="F130" s="355">
        <f>' PRIHODI I RASHODI-izvori'!G130</f>
        <v>663.61</v>
      </c>
      <c r="G130" s="355">
        <f>' PRIHODI I RASHODI-izvori'!H130</f>
        <v>0</v>
      </c>
    </row>
    <row r="131" spans="1:7" x14ac:dyDescent="0.2">
      <c r="A131" s="287"/>
      <c r="B131" s="358">
        <v>3234</v>
      </c>
      <c r="C131" s="358" t="s">
        <v>135</v>
      </c>
      <c r="D131" s="359">
        <f>SUM(D132:D135)</f>
        <v>12945.85</v>
      </c>
      <c r="E131" s="359">
        <f>SUM(E132:E135)</f>
        <v>19908.419999999998</v>
      </c>
      <c r="F131" s="359">
        <f>SUM(F132:F135)</f>
        <v>19908.419999999998</v>
      </c>
      <c r="G131" s="359">
        <f t="shared" ref="G131" si="28">SUM(G132:G135)</f>
        <v>12131.780000000002</v>
      </c>
    </row>
    <row r="132" spans="1:7" x14ac:dyDescent="0.2">
      <c r="A132" s="287"/>
      <c r="B132" s="357">
        <v>32341</v>
      </c>
      <c r="C132" s="357" t="s">
        <v>417</v>
      </c>
      <c r="D132" s="355">
        <f>' PRIHODI I RASHODI-izvori'!E132</f>
        <v>3442.95</v>
      </c>
      <c r="E132" s="355">
        <f>' PRIHODI I RASHODI-izvori'!F132</f>
        <v>7500</v>
      </c>
      <c r="F132" s="355">
        <f>' PRIHODI I RASHODI-izvori'!G132</f>
        <v>7500</v>
      </c>
      <c r="G132" s="355">
        <f>' PRIHODI I RASHODI-izvori'!H132</f>
        <v>3108.69</v>
      </c>
    </row>
    <row r="133" spans="1:7" x14ac:dyDescent="0.2">
      <c r="A133" s="287"/>
      <c r="B133" s="357">
        <v>32342</v>
      </c>
      <c r="C133" s="357" t="s">
        <v>418</v>
      </c>
      <c r="D133" s="355">
        <f>' PRIHODI I RASHODI-izvori'!E133</f>
        <v>7625.68</v>
      </c>
      <c r="E133" s="355">
        <f>' PRIHODI I RASHODI-izvori'!F133</f>
        <v>10500</v>
      </c>
      <c r="F133" s="355">
        <f>' PRIHODI I RASHODI-izvori'!G133</f>
        <v>10500</v>
      </c>
      <c r="G133" s="355">
        <f>' PRIHODI I RASHODI-izvori'!H133</f>
        <v>8714.6400000000012</v>
      </c>
    </row>
    <row r="134" spans="1:7" x14ac:dyDescent="0.2">
      <c r="A134" s="287"/>
      <c r="B134" s="357">
        <v>32343</v>
      </c>
      <c r="C134" s="357" t="s">
        <v>419</v>
      </c>
      <c r="D134" s="355">
        <f>' PRIHODI I RASHODI-izvori'!E134</f>
        <v>790.65</v>
      </c>
      <c r="E134" s="355">
        <f>' PRIHODI I RASHODI-izvori'!F134</f>
        <v>1500</v>
      </c>
      <c r="F134" s="355">
        <f>' PRIHODI I RASHODI-izvori'!G134</f>
        <v>1500</v>
      </c>
      <c r="G134" s="355">
        <f>' PRIHODI I RASHODI-izvori'!H134</f>
        <v>0</v>
      </c>
    </row>
    <row r="135" spans="1:7" x14ac:dyDescent="0.2">
      <c r="A135" s="287"/>
      <c r="B135" s="357">
        <v>32349</v>
      </c>
      <c r="C135" s="357" t="s">
        <v>420</v>
      </c>
      <c r="D135" s="355">
        <f>' PRIHODI I RASHODI-izvori'!E135</f>
        <v>1086.57</v>
      </c>
      <c r="E135" s="355">
        <f>' PRIHODI I RASHODI-izvori'!F135</f>
        <v>408.41999999999825</v>
      </c>
      <c r="F135" s="355">
        <f>' PRIHODI I RASHODI-izvori'!G135</f>
        <v>408.41999999999825</v>
      </c>
      <c r="G135" s="355">
        <f>' PRIHODI I RASHODI-izvori'!H135</f>
        <v>308.45</v>
      </c>
    </row>
    <row r="136" spans="1:7" x14ac:dyDescent="0.2">
      <c r="A136" s="287"/>
      <c r="B136" s="358">
        <v>3235</v>
      </c>
      <c r="C136" s="358" t="s">
        <v>136</v>
      </c>
      <c r="D136" s="359">
        <f>SUM(D137)</f>
        <v>0</v>
      </c>
      <c r="E136" s="359">
        <f>SUM(E137)</f>
        <v>132.72</v>
      </c>
      <c r="F136" s="359">
        <f>SUM(F137)</f>
        <v>132.72</v>
      </c>
      <c r="G136" s="359">
        <f t="shared" ref="G136" si="29">SUM(G137)</f>
        <v>0</v>
      </c>
    </row>
    <row r="137" spans="1:7" x14ac:dyDescent="0.2">
      <c r="A137" s="287"/>
      <c r="B137" s="357">
        <v>32359</v>
      </c>
      <c r="C137" s="357" t="s">
        <v>421</v>
      </c>
      <c r="D137" s="355">
        <f>' PRIHODI I RASHODI-izvori'!E137</f>
        <v>0</v>
      </c>
      <c r="E137" s="355">
        <f>' PRIHODI I RASHODI-izvori'!F137</f>
        <v>132.72</v>
      </c>
      <c r="F137" s="355">
        <f>' PRIHODI I RASHODI-izvori'!G137</f>
        <v>132.72</v>
      </c>
      <c r="G137" s="355">
        <f>' PRIHODI I RASHODI-izvori'!H137</f>
        <v>0</v>
      </c>
    </row>
    <row r="138" spans="1:7" x14ac:dyDescent="0.2">
      <c r="A138" s="287"/>
      <c r="B138" s="358">
        <v>3236</v>
      </c>
      <c r="C138" s="358" t="s">
        <v>137</v>
      </c>
      <c r="D138" s="359">
        <f>SUM(D139)</f>
        <v>15606.75</v>
      </c>
      <c r="E138" s="359">
        <f>SUM(E139)</f>
        <v>25217.34</v>
      </c>
      <c r="F138" s="359">
        <f>SUM(F139)</f>
        <v>32217.34</v>
      </c>
      <c r="G138" s="359">
        <f t="shared" ref="G138" si="30">SUM(G139)</f>
        <v>22363.18</v>
      </c>
    </row>
    <row r="139" spans="1:7" x14ac:dyDescent="0.2">
      <c r="A139" s="287"/>
      <c r="B139" s="357">
        <v>32369</v>
      </c>
      <c r="C139" s="357" t="s">
        <v>422</v>
      </c>
      <c r="D139" s="355">
        <f>' PRIHODI I RASHODI-izvori'!E139+' PRIHODI I RASHODI-izvori'!E296+' PRIHODI I RASHODI-izvori'!E395</f>
        <v>15606.75</v>
      </c>
      <c r="E139" s="355">
        <f>' PRIHODI I RASHODI-izvori'!F139+' PRIHODI I RASHODI-izvori'!F296+' PRIHODI I RASHODI-izvori'!F395</f>
        <v>25217.34</v>
      </c>
      <c r="F139" s="355">
        <f>' PRIHODI I RASHODI-izvori'!G34+' PRIHODI I RASHODI-izvori'!G139+' PRIHODI I RASHODI-izvori'!G296+' PRIHODI I RASHODI-izvori'!G395</f>
        <v>32217.34</v>
      </c>
      <c r="G139" s="355">
        <f>' PRIHODI I RASHODI-izvori'!H34+' PRIHODI I RASHODI-izvori'!H139+' PRIHODI I RASHODI-izvori'!H296+' PRIHODI I RASHODI-izvori'!H395</f>
        <v>22363.18</v>
      </c>
    </row>
    <row r="140" spans="1:7" x14ac:dyDescent="0.2">
      <c r="A140" s="287"/>
      <c r="B140" s="358">
        <v>3237</v>
      </c>
      <c r="C140" s="358" t="s">
        <v>138</v>
      </c>
      <c r="D140" s="359">
        <f>SUM(D141:D144)</f>
        <v>45769.5</v>
      </c>
      <c r="E140" s="359">
        <f>SUM(E141:E144)</f>
        <v>118144.50000000001</v>
      </c>
      <c r="F140" s="359">
        <f>SUM(F141:F144)</f>
        <v>116644.50000000001</v>
      </c>
      <c r="G140" s="359">
        <f t="shared" ref="G140" si="31">SUM(G141:G144)</f>
        <v>42710.020000000004</v>
      </c>
    </row>
    <row r="141" spans="1:7" x14ac:dyDescent="0.2">
      <c r="A141" s="287"/>
      <c r="B141" s="357">
        <v>32372</v>
      </c>
      <c r="C141" s="357" t="s">
        <v>423</v>
      </c>
      <c r="D141" s="355">
        <f>' PRIHODI I RASHODI-izvori'!E141+' PRIHODI I RASHODI-izvori'!E298+' PRIHODI I RASHODI-izvori'!E397</f>
        <v>36337.22</v>
      </c>
      <c r="E141" s="355">
        <f>' PRIHODI I RASHODI-izvori'!F141+' PRIHODI I RASHODI-izvori'!F298+' PRIHODI I RASHODI-izvori'!F397</f>
        <v>102164.04000000001</v>
      </c>
      <c r="F141" s="355">
        <f>' PRIHODI I RASHODI-izvori'!G141+' PRIHODI I RASHODI-izvori'!G298+' PRIHODI I RASHODI-izvori'!G397</f>
        <v>100664.04000000001</v>
      </c>
      <c r="G141" s="355">
        <f>' PRIHODI I RASHODI-izvori'!H141+' PRIHODI I RASHODI-izvori'!H298+' PRIHODI I RASHODI-izvori'!H397</f>
        <v>34416.270000000004</v>
      </c>
    </row>
    <row r="142" spans="1:7" x14ac:dyDescent="0.2">
      <c r="A142" s="287"/>
      <c r="B142" s="357">
        <v>32373</v>
      </c>
      <c r="C142" s="357" t="s">
        <v>424</v>
      </c>
      <c r="D142" s="355">
        <f>' PRIHODI I RASHODI-izvori'!E142</f>
        <v>9382.2800000000007</v>
      </c>
      <c r="E142" s="355">
        <f>' PRIHODI I RASHODI-izvori'!F142</f>
        <v>12000</v>
      </c>
      <c r="F142" s="355">
        <f>' PRIHODI I RASHODI-izvori'!G142</f>
        <v>12000</v>
      </c>
      <c r="G142" s="355">
        <f>' PRIHODI I RASHODI-izvori'!H142</f>
        <v>7500</v>
      </c>
    </row>
    <row r="143" spans="1:7" x14ac:dyDescent="0.2">
      <c r="A143" s="287"/>
      <c r="B143" s="357">
        <v>32375</v>
      </c>
      <c r="C143" s="357" t="s">
        <v>593</v>
      </c>
      <c r="D143" s="355">
        <f>' PRIHODI I RASHODI-izvori'!E143</f>
        <v>0</v>
      </c>
      <c r="E143" s="355">
        <f>' PRIHODI I RASHODI-izvori'!F143</f>
        <v>0</v>
      </c>
      <c r="F143" s="355">
        <f>' PRIHODI I RASHODI-izvori'!G143</f>
        <v>0</v>
      </c>
      <c r="G143" s="355">
        <f>' PRIHODI I RASHODI-izvori'!H143</f>
        <v>0</v>
      </c>
    </row>
    <row r="144" spans="1:7" x14ac:dyDescent="0.2">
      <c r="A144" s="287"/>
      <c r="B144" s="357">
        <v>32379</v>
      </c>
      <c r="C144" s="357" t="s">
        <v>491</v>
      </c>
      <c r="D144" s="355">
        <f>' PRIHODI I RASHODI-izvori'!E144</f>
        <v>50</v>
      </c>
      <c r="E144" s="355">
        <f>' PRIHODI I RASHODI-izvori'!F144</f>
        <v>3980.4600000000064</v>
      </c>
      <c r="F144" s="355">
        <f>' PRIHODI I RASHODI-izvori'!G144</f>
        <v>3980.46</v>
      </c>
      <c r="G144" s="355">
        <f>' PRIHODI I RASHODI-izvori'!H144+' PRIHODI I RASHODI-izvori'!H398</f>
        <v>793.75</v>
      </c>
    </row>
    <row r="145" spans="1:7" x14ac:dyDescent="0.2">
      <c r="A145" s="287"/>
      <c r="B145" s="358">
        <v>3238</v>
      </c>
      <c r="C145" s="358" t="s">
        <v>140</v>
      </c>
      <c r="D145" s="359">
        <f>SUM(D146)</f>
        <v>21730.480000000003</v>
      </c>
      <c r="E145" s="359">
        <f>SUM(E146)</f>
        <v>50801.19</v>
      </c>
      <c r="F145" s="359">
        <f>SUM(F146)</f>
        <v>58581.19</v>
      </c>
      <c r="G145" s="359">
        <f t="shared" ref="G145" si="32">SUM(G146)</f>
        <v>23285.51</v>
      </c>
    </row>
    <row r="146" spans="1:7" x14ac:dyDescent="0.2">
      <c r="A146" s="287"/>
      <c r="B146" s="357">
        <v>32389</v>
      </c>
      <c r="C146" s="357" t="s">
        <v>425</v>
      </c>
      <c r="D146" s="355">
        <f>' PRIHODI I RASHODI-izvori'!E36+' PRIHODI I RASHODI-izvori'!E146</f>
        <v>21730.480000000003</v>
      </c>
      <c r="E146" s="355">
        <f>' PRIHODI I RASHODI-izvori'!F36+' PRIHODI I RASHODI-izvori'!F146</f>
        <v>50801.19</v>
      </c>
      <c r="F146" s="355">
        <f>' PRIHODI I RASHODI-izvori'!G36+' PRIHODI I RASHODI-izvori'!G146</f>
        <v>58581.19</v>
      </c>
      <c r="G146" s="355">
        <f>' PRIHODI I RASHODI-izvori'!H36+' PRIHODI I RASHODI-izvori'!H146</f>
        <v>23285.51</v>
      </c>
    </row>
    <row r="147" spans="1:7" x14ac:dyDescent="0.2">
      <c r="A147" s="287"/>
      <c r="B147" s="358">
        <v>3239</v>
      </c>
      <c r="C147" s="358" t="s">
        <v>142</v>
      </c>
      <c r="D147" s="359">
        <f>SUM(D148:D150)</f>
        <v>9501.7049999999999</v>
      </c>
      <c r="E147" s="359">
        <f>SUM(E148:E150)</f>
        <v>28004.32</v>
      </c>
      <c r="F147" s="359">
        <f>SUM(F148:F150)</f>
        <v>28504.32</v>
      </c>
      <c r="G147" s="359">
        <f t="shared" ref="G147" si="33">SUM(G148:G150)</f>
        <v>2981.15</v>
      </c>
    </row>
    <row r="148" spans="1:7" x14ac:dyDescent="0.2">
      <c r="A148" s="287"/>
      <c r="B148" s="357">
        <v>32394</v>
      </c>
      <c r="C148" s="357" t="s">
        <v>426</v>
      </c>
      <c r="D148" s="355">
        <f>' PRIHODI I RASHODI-izvori'!E148</f>
        <v>1681.88</v>
      </c>
      <c r="E148" s="355">
        <f>' PRIHODI I RASHODI-izvori'!F148</f>
        <v>4000</v>
      </c>
      <c r="F148" s="355">
        <f>' PRIHODI I RASHODI-izvori'!G148</f>
        <v>4000</v>
      </c>
      <c r="G148" s="355">
        <f>' PRIHODI I RASHODI-izvori'!H148+' PRIHODI I RASHODI-izvori'!H400</f>
        <v>693.82</v>
      </c>
    </row>
    <row r="149" spans="1:7" x14ac:dyDescent="0.2">
      <c r="A149" s="287"/>
      <c r="B149" s="357">
        <v>32395</v>
      </c>
      <c r="C149" s="357" t="s">
        <v>427</v>
      </c>
      <c r="D149" s="355">
        <f>' PRIHODI I RASHODI-izvori'!E149</f>
        <v>3597</v>
      </c>
      <c r="E149" s="355">
        <f>' PRIHODI I RASHODI-izvori'!F149</f>
        <v>6500</v>
      </c>
      <c r="F149" s="355">
        <f>' PRIHODI I RASHODI-izvori'!G149</f>
        <v>6500</v>
      </c>
      <c r="G149" s="355">
        <f>' PRIHODI I RASHODI-izvori'!H149</f>
        <v>0</v>
      </c>
    </row>
    <row r="150" spans="1:7" x14ac:dyDescent="0.2">
      <c r="A150" s="287"/>
      <c r="B150" s="357">
        <v>32399</v>
      </c>
      <c r="C150" s="357" t="s">
        <v>305</v>
      </c>
      <c r="D150" s="355">
        <f>' PRIHODI I RASHODI-izvori'!E150+' PRIHODI I RASHODI-izvori'!E301+' PRIHODI I RASHODI-izvori'!E401</f>
        <v>4222.8249999999998</v>
      </c>
      <c r="E150" s="355">
        <f>' PRIHODI I RASHODI-izvori'!F150+' PRIHODI I RASHODI-izvori'!F301+' PRIHODI I RASHODI-izvori'!F401</f>
        <v>17504.32</v>
      </c>
      <c r="F150" s="355">
        <f>' PRIHODI I RASHODI-izvori'!G150+' PRIHODI I RASHODI-izvori'!G301+' PRIHODI I RASHODI-izvori'!G401</f>
        <v>18004.32</v>
      </c>
      <c r="G150" s="355">
        <f>' PRIHODI I RASHODI-izvori'!H150+' PRIHODI I RASHODI-izvori'!H301+' PRIHODI I RASHODI-izvori'!H401</f>
        <v>2287.33</v>
      </c>
    </row>
    <row r="151" spans="1:7" x14ac:dyDescent="0.2">
      <c r="A151" s="287"/>
      <c r="B151" s="358">
        <v>324</v>
      </c>
      <c r="C151" s="358" t="s">
        <v>286</v>
      </c>
      <c r="D151" s="359">
        <f>SUM(D153)</f>
        <v>0</v>
      </c>
      <c r="E151" s="359">
        <f>SUM(E153)</f>
        <v>398.17</v>
      </c>
      <c r="F151" s="359">
        <f>SUM(F153)</f>
        <v>398.17</v>
      </c>
      <c r="G151" s="359">
        <f t="shared" ref="G151" si="34">SUM(G153)</f>
        <v>0</v>
      </c>
    </row>
    <row r="152" spans="1:7" x14ac:dyDescent="0.2">
      <c r="A152" s="287"/>
      <c r="B152" s="358">
        <v>3241</v>
      </c>
      <c r="C152" s="357" t="s">
        <v>287</v>
      </c>
      <c r="D152" s="359">
        <f>D153</f>
        <v>0</v>
      </c>
      <c r="E152" s="359">
        <f>E153</f>
        <v>398.17</v>
      </c>
      <c r="F152" s="359">
        <f>F153</f>
        <v>398.17</v>
      </c>
      <c r="G152" s="359">
        <f t="shared" ref="G152" si="35">G153</f>
        <v>0</v>
      </c>
    </row>
    <row r="153" spans="1:7" x14ac:dyDescent="0.2">
      <c r="A153" s="287"/>
      <c r="B153" s="357">
        <v>32412</v>
      </c>
      <c r="C153" s="357" t="s">
        <v>437</v>
      </c>
      <c r="D153" s="355">
        <f>' PRIHODI I RASHODI-izvori'!E153</f>
        <v>0</v>
      </c>
      <c r="E153" s="355">
        <f>' PRIHODI I RASHODI-izvori'!F153</f>
        <v>398.17</v>
      </c>
      <c r="F153" s="355">
        <f>' PRIHODI I RASHODI-izvori'!G153</f>
        <v>398.17</v>
      </c>
      <c r="G153" s="355">
        <f>' PRIHODI I RASHODI-izvori'!H153</f>
        <v>0</v>
      </c>
    </row>
    <row r="154" spans="1:7" x14ac:dyDescent="0.2">
      <c r="A154" s="287"/>
      <c r="B154" s="828" t="s">
        <v>619</v>
      </c>
      <c r="C154" s="358" t="s">
        <v>127</v>
      </c>
      <c r="D154" s="359">
        <f>D155</f>
        <v>0</v>
      </c>
      <c r="E154" s="359">
        <f>E155</f>
        <v>0</v>
      </c>
      <c r="F154" s="359">
        <f>F155</f>
        <v>245954.21</v>
      </c>
      <c r="G154" s="359">
        <f t="shared" ref="G154" si="36">G155</f>
        <v>123749.89</v>
      </c>
    </row>
    <row r="155" spans="1:7" x14ac:dyDescent="0.2">
      <c r="A155" s="287"/>
      <c r="B155" s="828" t="s">
        <v>620</v>
      </c>
      <c r="C155" s="358" t="s">
        <v>142</v>
      </c>
      <c r="D155" s="359">
        <f>D156+D157</f>
        <v>0</v>
      </c>
      <c r="E155" s="359">
        <f>E156+E157</f>
        <v>0</v>
      </c>
      <c r="F155" s="359">
        <f>F156+F157</f>
        <v>245954.21</v>
      </c>
      <c r="G155" s="359">
        <f>G156+G157</f>
        <v>123749.89</v>
      </c>
    </row>
    <row r="156" spans="1:7" x14ac:dyDescent="0.2">
      <c r="A156" s="287"/>
      <c r="B156" s="827" t="s">
        <v>621</v>
      </c>
      <c r="C156" s="357" t="s">
        <v>623</v>
      </c>
      <c r="D156" s="355">
        <f>' PRIHODI I RASHODI-izvori'!E156+' PRIHODI I RASHODI-izvori'!E304+' PRIHODI I RASHODI-izvori'!E404</f>
        <v>0</v>
      </c>
      <c r="E156" s="355">
        <f>' PRIHODI I RASHODI-izvori'!F156+' PRIHODI I RASHODI-izvori'!F304+' PRIHODI I RASHODI-izvori'!F404</f>
        <v>0</v>
      </c>
      <c r="F156" s="355">
        <f>' PRIHODI I RASHODI-izvori'!G39+' PRIHODI I RASHODI-izvori'!G156+' PRIHODI I RASHODI-izvori'!G304+' PRIHODI I RASHODI-izvori'!G404</f>
        <v>26954.21</v>
      </c>
      <c r="G156" s="355">
        <f>' PRIHODI I RASHODI-izvori'!H39+' PRIHODI I RASHODI-izvori'!H156+' PRIHODI I RASHODI-izvori'!H304+' PRIHODI I RASHODI-izvori'!H404</f>
        <v>6286.77</v>
      </c>
    </row>
    <row r="157" spans="1:7" x14ac:dyDescent="0.2">
      <c r="A157" s="287"/>
      <c r="B157" s="827" t="s">
        <v>622</v>
      </c>
      <c r="C157" s="357" t="s">
        <v>624</v>
      </c>
      <c r="D157" s="355">
        <f>' PRIHODI I RASHODI-izvori'!E157+' PRIHODI I RASHODI-izvori'!E305+' PRIHODI I RASHODI-izvori'!E405</f>
        <v>0</v>
      </c>
      <c r="E157" s="355">
        <f>' PRIHODI I RASHODI-izvori'!F157+' PRIHODI I RASHODI-izvori'!F305+' PRIHODI I RASHODI-izvori'!F405</f>
        <v>0</v>
      </c>
      <c r="F157" s="355">
        <f>' PRIHODI I RASHODI-izvori'!G40+' PRIHODI I RASHODI-izvori'!G157+' PRIHODI I RASHODI-izvori'!G305+' PRIHODI I RASHODI-izvori'!G405</f>
        <v>219000</v>
      </c>
      <c r="G157" s="355">
        <f>' PRIHODI I RASHODI-izvori'!H40+' PRIHODI I RASHODI-izvori'!H157+' PRIHODI I RASHODI-izvori'!H305+' PRIHODI I RASHODI-izvori'!H405</f>
        <v>117463.12</v>
      </c>
    </row>
    <row r="158" spans="1:7" x14ac:dyDescent="0.2">
      <c r="A158" s="287"/>
      <c r="B158" s="358">
        <v>329</v>
      </c>
      <c r="C158" s="358" t="s">
        <v>144</v>
      </c>
      <c r="D158" s="359">
        <f>D159+D161+D165+D167+D169+D173+D175</f>
        <v>24760.639999999996</v>
      </c>
      <c r="E158" s="359">
        <f>E159+E161+E165+E167+E169+E173+E175</f>
        <v>54430.099999999991</v>
      </c>
      <c r="F158" s="359">
        <f>F159+F161+F165+F167+F169+F173+F175</f>
        <v>55430.099999999991</v>
      </c>
      <c r="G158" s="359">
        <f>G159+G161+G165+G167+G169+G173+G175</f>
        <v>22687.95</v>
      </c>
    </row>
    <row r="159" spans="1:7" x14ac:dyDescent="0.2">
      <c r="A159" s="287"/>
      <c r="B159" s="358">
        <v>3291</v>
      </c>
      <c r="C159" s="358" t="s">
        <v>288</v>
      </c>
      <c r="D159" s="359">
        <f>SUM(D160)</f>
        <v>4399.32</v>
      </c>
      <c r="E159" s="359">
        <f>SUM(E160)</f>
        <v>11613.25</v>
      </c>
      <c r="F159" s="359">
        <f>SUM(F160)</f>
        <v>11613.25</v>
      </c>
      <c r="G159" s="359">
        <f t="shared" ref="G159" si="37">SUM(G160)</f>
        <v>4399.32</v>
      </c>
    </row>
    <row r="160" spans="1:7" x14ac:dyDescent="0.2">
      <c r="A160" s="287"/>
      <c r="B160" s="357">
        <v>32911</v>
      </c>
      <c r="C160" s="357" t="s">
        <v>288</v>
      </c>
      <c r="D160" s="355">
        <f>' PRIHODI I RASHODI-izvori'!E160</f>
        <v>4399.32</v>
      </c>
      <c r="E160" s="355">
        <f>' PRIHODI I RASHODI-izvori'!F160</f>
        <v>11613.25</v>
      </c>
      <c r="F160" s="355">
        <f>' PRIHODI I RASHODI-izvori'!G160</f>
        <v>11613.25</v>
      </c>
      <c r="G160" s="355">
        <f>' PRIHODI I RASHODI-izvori'!H160</f>
        <v>4399.32</v>
      </c>
    </row>
    <row r="161" spans="1:7" x14ac:dyDescent="0.2">
      <c r="A161" s="287"/>
      <c r="B161" s="358">
        <v>3292</v>
      </c>
      <c r="C161" s="358" t="s">
        <v>429</v>
      </c>
      <c r="D161" s="359">
        <f>SUM(D162:D164)</f>
        <v>14461.07</v>
      </c>
      <c r="E161" s="359">
        <f>SUM(E162:E164)</f>
        <v>23890.11</v>
      </c>
      <c r="F161" s="359">
        <f>SUM(F162:F164)</f>
        <v>23890.11</v>
      </c>
      <c r="G161" s="359">
        <f t="shared" ref="G161" si="38">SUM(G162:G164)</f>
        <v>12284.93</v>
      </c>
    </row>
    <row r="162" spans="1:7" x14ac:dyDescent="0.2">
      <c r="A162" s="287"/>
      <c r="B162" s="357">
        <v>32921</v>
      </c>
      <c r="C162" s="357" t="s">
        <v>431</v>
      </c>
      <c r="D162" s="355">
        <f>' PRIHODI I RASHODI-izvori'!E162+' PRIHODI I RASHODI-izvori'!E309+' PRIHODI I RASHODI-izvori'!E481</f>
        <v>7040.1</v>
      </c>
      <c r="E162" s="355">
        <f>' PRIHODI I RASHODI-izvori'!F162+' PRIHODI I RASHODI-izvori'!F309+' PRIHODI I RASHODI-izvori'!F481</f>
        <v>12904.46</v>
      </c>
      <c r="F162" s="355">
        <f>' PRIHODI I RASHODI-izvori'!G162+' PRIHODI I RASHODI-izvori'!G309+' PRIHODI I RASHODI-izvori'!G481</f>
        <v>12904.46</v>
      </c>
      <c r="G162" s="355">
        <f>' PRIHODI I RASHODI-izvori'!H162+' PRIHODI I RASHODI-izvori'!H309+' PRIHODI I RASHODI-izvori'!H481</f>
        <v>5174.46</v>
      </c>
    </row>
    <row r="163" spans="1:7" x14ac:dyDescent="0.2">
      <c r="A163" s="287"/>
      <c r="B163" s="357">
        <v>32922</v>
      </c>
      <c r="C163" s="357" t="s">
        <v>430</v>
      </c>
      <c r="D163" s="355">
        <f>' PRIHODI I RASHODI-izvori'!E163</f>
        <v>2372.85</v>
      </c>
      <c r="E163" s="355">
        <f>' PRIHODI I RASHODI-izvori'!F163</f>
        <v>2100</v>
      </c>
      <c r="F163" s="355">
        <f>' PRIHODI I RASHODI-izvori'!G163</f>
        <v>2100</v>
      </c>
      <c r="G163" s="355">
        <f>' PRIHODI I RASHODI-izvori'!H163</f>
        <v>2372.85</v>
      </c>
    </row>
    <row r="164" spans="1:7" x14ac:dyDescent="0.2">
      <c r="A164" s="287"/>
      <c r="B164" s="357">
        <v>32923</v>
      </c>
      <c r="C164" s="357" t="s">
        <v>428</v>
      </c>
      <c r="D164" s="355">
        <f>' PRIHODI I RASHODI-izvori'!E164</f>
        <v>5048.12</v>
      </c>
      <c r="E164" s="355">
        <f>' PRIHODI I RASHODI-izvori'!F164</f>
        <v>8885.6500000000015</v>
      </c>
      <c r="F164" s="355">
        <f>' PRIHODI I RASHODI-izvori'!G164</f>
        <v>8885.6500000000015</v>
      </c>
      <c r="G164" s="355">
        <f>' PRIHODI I RASHODI-izvori'!H164+' PRIHODI I RASHODI-izvori'!H408</f>
        <v>4737.62</v>
      </c>
    </row>
    <row r="165" spans="1:7" x14ac:dyDescent="0.2">
      <c r="A165" s="287"/>
      <c r="B165" s="358">
        <v>3293</v>
      </c>
      <c r="C165" s="358" t="s">
        <v>148</v>
      </c>
      <c r="D165" s="359">
        <f>SUM(D166)</f>
        <v>919.01</v>
      </c>
      <c r="E165" s="359">
        <f>SUM(E166)</f>
        <v>3318.07</v>
      </c>
      <c r="F165" s="359">
        <f>SUM(F166)</f>
        <v>4318.07</v>
      </c>
      <c r="G165" s="359">
        <f t="shared" ref="G165" si="39">SUM(G166)</f>
        <v>2127.2800000000002</v>
      </c>
    </row>
    <row r="166" spans="1:7" x14ac:dyDescent="0.2">
      <c r="A166" s="287"/>
      <c r="B166" s="357">
        <v>32931</v>
      </c>
      <c r="C166" s="357" t="s">
        <v>148</v>
      </c>
      <c r="D166" s="355">
        <f>' PRIHODI I RASHODI-izvori'!E166+' PRIHODI I RASHODI-izvori'!E311+' PRIHODI I RASHODI-izvori'!E410</f>
        <v>919.01</v>
      </c>
      <c r="E166" s="355">
        <f>' PRIHODI I RASHODI-izvori'!F166+' PRIHODI I RASHODI-izvori'!F311+' PRIHODI I RASHODI-izvori'!F410</f>
        <v>3318.07</v>
      </c>
      <c r="F166" s="355">
        <f>' PRIHODI I RASHODI-izvori'!G166+' PRIHODI I RASHODI-izvori'!G311+' PRIHODI I RASHODI-izvori'!G410</f>
        <v>4318.07</v>
      </c>
      <c r="G166" s="355">
        <f>' PRIHODI I RASHODI-izvori'!H166+' PRIHODI I RASHODI-izvori'!H311+' PRIHODI I RASHODI-izvori'!H410</f>
        <v>2127.2800000000002</v>
      </c>
    </row>
    <row r="167" spans="1:7" x14ac:dyDescent="0.2">
      <c r="A167" s="287"/>
      <c r="B167" s="358">
        <v>3294</v>
      </c>
      <c r="C167" s="358" t="s">
        <v>149</v>
      </c>
      <c r="D167" s="359">
        <f>SUM(D168)</f>
        <v>1072.23</v>
      </c>
      <c r="E167" s="359">
        <f>SUM(E168)</f>
        <v>1990.84</v>
      </c>
      <c r="F167" s="359">
        <f>SUM(F168)</f>
        <v>1990.84</v>
      </c>
      <c r="G167" s="359">
        <f t="shared" ref="G167" si="40">SUM(G168)</f>
        <v>1112.4000000000001</v>
      </c>
    </row>
    <row r="168" spans="1:7" x14ac:dyDescent="0.2">
      <c r="A168" s="287"/>
      <c r="B168" s="357">
        <v>32941</v>
      </c>
      <c r="C168" s="357" t="s">
        <v>432</v>
      </c>
      <c r="D168" s="355">
        <f>' PRIHODI I RASHODI-izvori'!E168</f>
        <v>1072.23</v>
      </c>
      <c r="E168" s="355">
        <f>' PRIHODI I RASHODI-izvori'!F168</f>
        <v>1990.84</v>
      </c>
      <c r="F168" s="355">
        <f>' PRIHODI I RASHODI-izvori'!G168</f>
        <v>1990.84</v>
      </c>
      <c r="G168" s="355">
        <f>' PRIHODI I RASHODI-izvori'!H168</f>
        <v>1112.4000000000001</v>
      </c>
    </row>
    <row r="169" spans="1:7" x14ac:dyDescent="0.2">
      <c r="A169" s="287"/>
      <c r="B169" s="358">
        <v>3295</v>
      </c>
      <c r="C169" s="358" t="s">
        <v>150</v>
      </c>
      <c r="D169" s="359">
        <f>SUM(D170:D172)</f>
        <v>262.14</v>
      </c>
      <c r="E169" s="359">
        <f>SUM(E170:E172)</f>
        <v>2654.46</v>
      </c>
      <c r="F169" s="359">
        <f>SUM(F170:F172)</f>
        <v>2654.46</v>
      </c>
      <c r="G169" s="359">
        <f t="shared" ref="G169" si="41">SUM(G170:G172)</f>
        <v>71.25</v>
      </c>
    </row>
    <row r="170" spans="1:7" x14ac:dyDescent="0.2">
      <c r="A170" s="287"/>
      <c r="B170" s="357">
        <v>32952</v>
      </c>
      <c r="C170" s="357" t="s">
        <v>434</v>
      </c>
      <c r="D170" s="355">
        <f>' PRIHODI I RASHODI-izvori'!E170</f>
        <v>262.14</v>
      </c>
      <c r="E170" s="355">
        <f>' PRIHODI I RASHODI-izvori'!F170</f>
        <v>800</v>
      </c>
      <c r="F170" s="355">
        <f>' PRIHODI I RASHODI-izvori'!G170</f>
        <v>800</v>
      </c>
      <c r="G170" s="355">
        <f>' PRIHODI I RASHODI-izvori'!H170</f>
        <v>0</v>
      </c>
    </row>
    <row r="171" spans="1:7" x14ac:dyDescent="0.2">
      <c r="A171" s="287"/>
      <c r="B171" s="357">
        <v>32953</v>
      </c>
      <c r="C171" s="357" t="s">
        <v>435</v>
      </c>
      <c r="D171" s="355">
        <f>' PRIHODI I RASHODI-izvori'!E171</f>
        <v>0</v>
      </c>
      <c r="E171" s="355">
        <f>' PRIHODI I RASHODI-izvori'!F171</f>
        <v>1450</v>
      </c>
      <c r="F171" s="355">
        <f>' PRIHODI I RASHODI-izvori'!G171</f>
        <v>1450</v>
      </c>
      <c r="G171" s="355">
        <f>' PRIHODI I RASHODI-izvori'!H171</f>
        <v>71.25</v>
      </c>
    </row>
    <row r="172" spans="1:7" x14ac:dyDescent="0.2">
      <c r="A172" s="287"/>
      <c r="B172" s="357">
        <v>32959</v>
      </c>
      <c r="C172" s="357" t="s">
        <v>433</v>
      </c>
      <c r="D172" s="355">
        <f>' PRIHODI I RASHODI-izvori'!E172</f>
        <v>0</v>
      </c>
      <c r="E172" s="355">
        <f>' PRIHODI I RASHODI-izvori'!F172</f>
        <v>404.46000000000004</v>
      </c>
      <c r="F172" s="355">
        <f>' PRIHODI I RASHODI-izvori'!G172</f>
        <v>404.46000000000004</v>
      </c>
      <c r="G172" s="355">
        <f>' PRIHODI I RASHODI-izvori'!H172</f>
        <v>0</v>
      </c>
    </row>
    <row r="173" spans="1:7" x14ac:dyDescent="0.2">
      <c r="A173" s="287"/>
      <c r="B173" s="358">
        <v>3296</v>
      </c>
      <c r="C173" s="358" t="s">
        <v>151</v>
      </c>
      <c r="D173" s="359">
        <f>SUM(D174)</f>
        <v>705</v>
      </c>
      <c r="E173" s="359">
        <f>SUM(E174)</f>
        <v>4990.84</v>
      </c>
      <c r="F173" s="359">
        <f>SUM(F174)</f>
        <v>4990.84</v>
      </c>
      <c r="G173" s="359">
        <f t="shared" ref="G173" si="42">SUM(G174)</f>
        <v>0</v>
      </c>
    </row>
    <row r="174" spans="1:7" x14ac:dyDescent="0.2">
      <c r="A174" s="287"/>
      <c r="B174" s="357">
        <v>32961</v>
      </c>
      <c r="C174" s="357" t="s">
        <v>151</v>
      </c>
      <c r="D174" s="355">
        <f>' PRIHODI I RASHODI-izvori'!E174</f>
        <v>705</v>
      </c>
      <c r="E174" s="355">
        <f>' PRIHODI I RASHODI-izvori'!F174</f>
        <v>4990.84</v>
      </c>
      <c r="F174" s="355">
        <f>' PRIHODI I RASHODI-izvori'!G174</f>
        <v>4990.84</v>
      </c>
      <c r="G174" s="355">
        <f>' PRIHODI I RASHODI-izvori'!H174</f>
        <v>0</v>
      </c>
    </row>
    <row r="175" spans="1:7" x14ac:dyDescent="0.2">
      <c r="A175" s="287"/>
      <c r="B175" s="358">
        <v>3299</v>
      </c>
      <c r="C175" s="358" t="s">
        <v>144</v>
      </c>
      <c r="D175" s="359">
        <f>SUM(D176:D177)</f>
        <v>2941.87</v>
      </c>
      <c r="E175" s="359">
        <f>SUM(E176:E177)</f>
        <v>5972.53</v>
      </c>
      <c r="F175" s="359">
        <f>SUM(F176:F177)</f>
        <v>5972.53</v>
      </c>
      <c r="G175" s="359">
        <f t="shared" ref="G175" si="43">SUM(G176:G177)</f>
        <v>2692.77</v>
      </c>
    </row>
    <row r="176" spans="1:7" x14ac:dyDescent="0.2">
      <c r="A176" s="287"/>
      <c r="B176" s="357">
        <v>32991</v>
      </c>
      <c r="C176" s="357" t="s">
        <v>436</v>
      </c>
      <c r="D176" s="355">
        <f>' PRIHODI I RASHODI-izvori'!E176</f>
        <v>0</v>
      </c>
      <c r="E176" s="355">
        <f>' PRIHODI I RASHODI-izvori'!F176</f>
        <v>200</v>
      </c>
      <c r="F176" s="355">
        <f>' PRIHODI I RASHODI-izvori'!G176</f>
        <v>200</v>
      </c>
      <c r="G176" s="355">
        <f>' PRIHODI I RASHODI-izvori'!H176</f>
        <v>50</v>
      </c>
    </row>
    <row r="177" spans="1:7" x14ac:dyDescent="0.2">
      <c r="A177" s="287"/>
      <c r="B177" s="357">
        <v>32999</v>
      </c>
      <c r="C177" s="357" t="s">
        <v>144</v>
      </c>
      <c r="D177" s="355">
        <f>' PRIHODI I RASHODI-izvori'!E177</f>
        <v>2941.87</v>
      </c>
      <c r="E177" s="355">
        <f>' PRIHODI I RASHODI-izvori'!F177</f>
        <v>5772.53</v>
      </c>
      <c r="F177" s="355">
        <f>' PRIHODI I RASHODI-izvori'!G177</f>
        <v>5772.53</v>
      </c>
      <c r="G177" s="355">
        <f>' PRIHODI I RASHODI-izvori'!H177+' PRIHODI I RASHODI-izvori'!H413</f>
        <v>2642.77</v>
      </c>
    </row>
    <row r="178" spans="1:7" x14ac:dyDescent="0.2">
      <c r="A178" s="287"/>
      <c r="B178" s="377">
        <v>34</v>
      </c>
      <c r="C178" s="377" t="s">
        <v>289</v>
      </c>
      <c r="D178" s="378">
        <f>D179</f>
        <v>2811.2200000000003</v>
      </c>
      <c r="E178" s="378">
        <f>E179</f>
        <v>9972.52</v>
      </c>
      <c r="F178" s="378">
        <f>F179</f>
        <v>9972.52</v>
      </c>
      <c r="G178" s="378">
        <f t="shared" ref="G178" si="44">G179</f>
        <v>3054.41</v>
      </c>
    </row>
    <row r="179" spans="1:7" x14ac:dyDescent="0.2">
      <c r="A179" s="287"/>
      <c r="B179" s="358">
        <v>343</v>
      </c>
      <c r="C179" s="358" t="s">
        <v>154</v>
      </c>
      <c r="D179" s="359">
        <f>D180+D182+D183+D188</f>
        <v>2811.2200000000003</v>
      </c>
      <c r="E179" s="359">
        <f>E180+E182+E183+E188</f>
        <v>9972.52</v>
      </c>
      <c r="F179" s="359">
        <f>F180+F182+F183+F188</f>
        <v>9972.52</v>
      </c>
      <c r="G179" s="359">
        <f>G180+G182+G183+G188</f>
        <v>3054.41</v>
      </c>
    </row>
    <row r="180" spans="1:7" x14ac:dyDescent="0.2">
      <c r="A180" s="287"/>
      <c r="B180" s="358">
        <v>3431</v>
      </c>
      <c r="C180" s="358" t="s">
        <v>290</v>
      </c>
      <c r="D180" s="359">
        <f>SUM(D181)</f>
        <v>1576.39</v>
      </c>
      <c r="E180" s="359">
        <f>SUM(E181)</f>
        <v>5308.91</v>
      </c>
      <c r="F180" s="359">
        <f>SUM(F181)</f>
        <v>5308.91</v>
      </c>
      <c r="G180" s="359">
        <f t="shared" ref="G180" si="45">SUM(G181)</f>
        <v>2832.18</v>
      </c>
    </row>
    <row r="181" spans="1:7" x14ac:dyDescent="0.2">
      <c r="A181" s="287"/>
      <c r="B181" s="357">
        <v>34312</v>
      </c>
      <c r="C181" s="357" t="s">
        <v>438</v>
      </c>
      <c r="D181" s="355">
        <f>' PRIHODI I RASHODI-izvori'!E181</f>
        <v>1576.39</v>
      </c>
      <c r="E181" s="355">
        <f>' PRIHODI I RASHODI-izvori'!F181</f>
        <v>5308.91</v>
      </c>
      <c r="F181" s="355">
        <f>' PRIHODI I RASHODI-izvori'!G181</f>
        <v>5308.91</v>
      </c>
      <c r="G181" s="355">
        <f>' PRIHODI I RASHODI-izvori'!H181</f>
        <v>2832.18</v>
      </c>
    </row>
    <row r="182" spans="1:7" x14ac:dyDescent="0.2">
      <c r="A182" s="287"/>
      <c r="B182" s="358">
        <v>3432</v>
      </c>
      <c r="C182" s="358" t="s">
        <v>205</v>
      </c>
      <c r="D182" s="355"/>
      <c r="E182" s="355"/>
      <c r="F182" s="355"/>
      <c r="G182" s="355"/>
    </row>
    <row r="183" spans="1:7" x14ac:dyDescent="0.2">
      <c r="A183" s="287"/>
      <c r="B183" s="358">
        <v>3433</v>
      </c>
      <c r="C183" s="358" t="s">
        <v>157</v>
      </c>
      <c r="D183" s="359">
        <f>SUM(D184:D187)</f>
        <v>892.03</v>
      </c>
      <c r="E183" s="359">
        <f>SUM(E184:E187)</f>
        <v>4663.6099999999997</v>
      </c>
      <c r="F183" s="359">
        <f>SUM(F184:F187)</f>
        <v>4663.6099999999997</v>
      </c>
      <c r="G183" s="359">
        <f t="shared" ref="G183" si="46">SUM(G184:G187)</f>
        <v>222.23</v>
      </c>
    </row>
    <row r="184" spans="1:7" x14ac:dyDescent="0.2">
      <c r="A184" s="287"/>
      <c r="B184" s="357">
        <v>34331</v>
      </c>
      <c r="C184" s="357" t="s">
        <v>439</v>
      </c>
      <c r="D184" s="355">
        <f>' PRIHODI I RASHODI-izvori'!E183</f>
        <v>11.9</v>
      </c>
      <c r="E184" s="355">
        <f>' PRIHODI I RASHODI-izvori'!F183</f>
        <v>100</v>
      </c>
      <c r="F184" s="355">
        <f>' PRIHODI I RASHODI-izvori'!G183</f>
        <v>100</v>
      </c>
      <c r="G184" s="355">
        <f>' PRIHODI I RASHODI-izvori'!H183</f>
        <v>0</v>
      </c>
    </row>
    <row r="185" spans="1:7" x14ac:dyDescent="0.2">
      <c r="A185" s="287"/>
      <c r="B185" s="357">
        <v>34332</v>
      </c>
      <c r="C185" s="357" t="s">
        <v>440</v>
      </c>
      <c r="D185" s="355">
        <f>' PRIHODI I RASHODI-izvori'!E184</f>
        <v>315.98</v>
      </c>
      <c r="E185" s="355">
        <f>' PRIHODI I RASHODI-izvori'!F184</f>
        <v>550</v>
      </c>
      <c r="F185" s="355">
        <f>' PRIHODI I RASHODI-izvori'!G184</f>
        <v>550</v>
      </c>
      <c r="G185" s="355">
        <f>' PRIHODI I RASHODI-izvori'!H184</f>
        <v>0</v>
      </c>
    </row>
    <row r="186" spans="1:7" x14ac:dyDescent="0.2">
      <c r="A186" s="287"/>
      <c r="B186" s="357">
        <v>34333</v>
      </c>
      <c r="C186" s="357" t="s">
        <v>441</v>
      </c>
      <c r="D186" s="355">
        <f>' PRIHODI I RASHODI-izvori'!E185</f>
        <v>3.2</v>
      </c>
      <c r="E186" s="355">
        <f>' PRIHODI I RASHODI-izvori'!F185</f>
        <v>75</v>
      </c>
      <c r="F186" s="355">
        <f>' PRIHODI I RASHODI-izvori'!G185</f>
        <v>75</v>
      </c>
      <c r="G186" s="355">
        <f>' PRIHODI I RASHODI-izvori'!H185</f>
        <v>222.23</v>
      </c>
    </row>
    <row r="187" spans="1:7" x14ac:dyDescent="0.2">
      <c r="A187" s="287"/>
      <c r="B187" s="357">
        <v>34339</v>
      </c>
      <c r="C187" s="357" t="s">
        <v>442</v>
      </c>
      <c r="D187" s="355">
        <f>' PRIHODI I RASHODI-izvori'!E186</f>
        <v>560.95000000000005</v>
      </c>
      <c r="E187" s="355">
        <f>' PRIHODI I RASHODI-izvori'!F186</f>
        <v>3938.6099999999997</v>
      </c>
      <c r="F187" s="355">
        <f>' PRIHODI I RASHODI-izvori'!G186</f>
        <v>3938.6099999999997</v>
      </c>
      <c r="G187" s="355">
        <f>' PRIHODI I RASHODI-izvori'!H186</f>
        <v>0</v>
      </c>
    </row>
    <row r="188" spans="1:7" x14ac:dyDescent="0.2">
      <c r="A188" s="287"/>
      <c r="B188" s="358">
        <v>3434</v>
      </c>
      <c r="C188" s="358" t="s">
        <v>291</v>
      </c>
      <c r="D188" s="359">
        <f>D189</f>
        <v>342.8</v>
      </c>
      <c r="E188" s="359">
        <f>E189</f>
        <v>0</v>
      </c>
      <c r="F188" s="359">
        <f>F189</f>
        <v>0</v>
      </c>
      <c r="G188" s="359">
        <f>G189</f>
        <v>0</v>
      </c>
    </row>
    <row r="189" spans="1:7" x14ac:dyDescent="0.2">
      <c r="A189" s="287"/>
      <c r="B189" s="357">
        <v>34349</v>
      </c>
      <c r="C189" s="357" t="s">
        <v>291</v>
      </c>
      <c r="D189" s="355">
        <f>' PRIHODI I RASHODI-izvori'!E188</f>
        <v>342.8</v>
      </c>
      <c r="E189" s="355">
        <f>' PRIHODI I RASHODI-izvori'!F188</f>
        <v>0</v>
      </c>
      <c r="F189" s="355">
        <f>' PRIHODI I RASHODI-izvori'!G188</f>
        <v>0</v>
      </c>
      <c r="G189" s="355">
        <f>' PRIHODI I RASHODI-izvori'!H188</f>
        <v>0</v>
      </c>
    </row>
    <row r="190" spans="1:7" x14ac:dyDescent="0.2">
      <c r="A190" s="287"/>
      <c r="B190" s="377">
        <v>36</v>
      </c>
      <c r="C190" s="377" t="s">
        <v>292</v>
      </c>
      <c r="D190" s="378">
        <f>SUM(D191)</f>
        <v>0</v>
      </c>
      <c r="E190" s="378">
        <f>SUM(E191)</f>
        <v>0</v>
      </c>
      <c r="F190" s="378">
        <f>SUM(F191)</f>
        <v>0</v>
      </c>
      <c r="G190" s="378">
        <f t="shared" ref="G190" si="47">SUM(G191)</f>
        <v>0</v>
      </c>
    </row>
    <row r="191" spans="1:7" x14ac:dyDescent="0.2">
      <c r="A191" s="287"/>
      <c r="B191" s="358">
        <v>369</v>
      </c>
      <c r="C191" s="358" t="s">
        <v>38</v>
      </c>
      <c r="D191" s="359">
        <f>SUM(D192:D193)</f>
        <v>0</v>
      </c>
      <c r="E191" s="359">
        <f>SUM(E192:E193)</f>
        <v>0</v>
      </c>
      <c r="F191" s="359">
        <f>SUM(F192:F193)</f>
        <v>0</v>
      </c>
      <c r="G191" s="359">
        <f t="shared" ref="G191" si="48">SUM(G192:G193)</f>
        <v>0</v>
      </c>
    </row>
    <row r="192" spans="1:7" x14ac:dyDescent="0.2">
      <c r="A192" s="302"/>
      <c r="B192" s="358">
        <v>3691</v>
      </c>
      <c r="C192" s="358" t="s">
        <v>293</v>
      </c>
      <c r="D192" s="359"/>
      <c r="E192" s="359"/>
      <c r="F192" s="359"/>
      <c r="G192" s="359"/>
    </row>
    <row r="193" spans="1:7" x14ac:dyDescent="0.2">
      <c r="A193" s="287"/>
      <c r="B193" s="358">
        <v>3692</v>
      </c>
      <c r="C193" s="358" t="s">
        <v>294</v>
      </c>
      <c r="D193" s="359"/>
      <c r="E193" s="359"/>
      <c r="F193" s="359"/>
      <c r="G193" s="359"/>
    </row>
    <row r="194" spans="1:7" x14ac:dyDescent="0.2">
      <c r="A194" s="287"/>
      <c r="B194" s="377">
        <v>37</v>
      </c>
      <c r="C194" s="377" t="s">
        <v>162</v>
      </c>
      <c r="D194" s="378">
        <f t="shared" ref="D194:F195" si="49">D195</f>
        <v>9591.11</v>
      </c>
      <c r="E194" s="378">
        <f t="shared" si="49"/>
        <v>2000</v>
      </c>
      <c r="F194" s="378">
        <f t="shared" si="49"/>
        <v>2000</v>
      </c>
      <c r="G194" s="378">
        <f t="shared" ref="G194" si="50">SUM(G195)</f>
        <v>0</v>
      </c>
    </row>
    <row r="195" spans="1:7" x14ac:dyDescent="0.2">
      <c r="A195" s="287"/>
      <c r="B195" s="358">
        <v>372</v>
      </c>
      <c r="C195" s="358" t="s">
        <v>163</v>
      </c>
      <c r="D195" s="359">
        <f t="shared" si="49"/>
        <v>9591.11</v>
      </c>
      <c r="E195" s="359">
        <f t="shared" si="49"/>
        <v>2000</v>
      </c>
      <c r="F195" s="359">
        <f t="shared" si="49"/>
        <v>2000</v>
      </c>
      <c r="G195" s="359">
        <f t="shared" ref="G195" si="51">SUM(G198)</f>
        <v>0</v>
      </c>
    </row>
    <row r="196" spans="1:7" x14ac:dyDescent="0.2">
      <c r="A196" s="287"/>
      <c r="B196" s="358">
        <v>3721</v>
      </c>
      <c r="C196" s="358" t="s">
        <v>164</v>
      </c>
      <c r="D196" s="359">
        <f>SUM(D197:D198)</f>
        <v>9591.11</v>
      </c>
      <c r="E196" s="359">
        <f>SUM(E197:E198)</f>
        <v>2000</v>
      </c>
      <c r="F196" s="359">
        <f>SUM(F197:F198)</f>
        <v>2000</v>
      </c>
      <c r="G196" s="359">
        <f t="shared" ref="G196" si="52">SUM(G197:G198)</f>
        <v>0</v>
      </c>
    </row>
    <row r="197" spans="1:7" x14ac:dyDescent="0.2">
      <c r="A197" s="287"/>
      <c r="B197" s="357">
        <v>37212</v>
      </c>
      <c r="C197" s="357" t="s">
        <v>443</v>
      </c>
      <c r="D197" s="355">
        <f>' PRIHODI I RASHODI-izvori'!E196</f>
        <v>0</v>
      </c>
      <c r="E197" s="355">
        <f>' PRIHODI I RASHODI-izvori'!F196</f>
        <v>1500</v>
      </c>
      <c r="F197" s="355">
        <f>' PRIHODI I RASHODI-izvori'!G196</f>
        <v>1500</v>
      </c>
      <c r="G197" s="355">
        <f>' PRIHODI I RASHODI-izvori'!H196</f>
        <v>0</v>
      </c>
    </row>
    <row r="198" spans="1:7" x14ac:dyDescent="0.2">
      <c r="A198" s="287"/>
      <c r="B198" s="357">
        <v>37215</v>
      </c>
      <c r="C198" s="357" t="s">
        <v>444</v>
      </c>
      <c r="D198" s="355">
        <f>' PRIHODI I RASHODI-izvori'!E197</f>
        <v>9591.11</v>
      </c>
      <c r="E198" s="355">
        <f>' PRIHODI I RASHODI-izvori'!F197</f>
        <v>500</v>
      </c>
      <c r="F198" s="355">
        <f>' PRIHODI I RASHODI-izvori'!G197</f>
        <v>500</v>
      </c>
      <c r="G198" s="355">
        <f>' PRIHODI I RASHODI-izvori'!H197</f>
        <v>0</v>
      </c>
    </row>
    <row r="199" spans="1:7" x14ac:dyDescent="0.2">
      <c r="A199" s="287"/>
      <c r="B199" s="377">
        <v>38</v>
      </c>
      <c r="C199" s="377" t="s">
        <v>295</v>
      </c>
      <c r="D199" s="378">
        <f>SUM(D200,D202,D207)</f>
        <v>186.57</v>
      </c>
      <c r="E199" s="378">
        <f>SUM(E200,E202,E207)</f>
        <v>500</v>
      </c>
      <c r="F199" s="378">
        <f>SUM(F200,F202,F207)</f>
        <v>500</v>
      </c>
      <c r="G199" s="378">
        <f>SUM(G200,G202,G207)</f>
        <v>216.96</v>
      </c>
    </row>
    <row r="200" spans="1:7" x14ac:dyDescent="0.2">
      <c r="A200" s="287"/>
      <c r="B200" s="358">
        <v>381</v>
      </c>
      <c r="C200" s="358" t="s">
        <v>167</v>
      </c>
      <c r="D200" s="359">
        <f>SUM(D201)</f>
        <v>0</v>
      </c>
      <c r="E200" s="359">
        <f>SUM(E201)</f>
        <v>0</v>
      </c>
      <c r="F200" s="359">
        <f>SUM(F201)</f>
        <v>0</v>
      </c>
      <c r="G200" s="359">
        <f t="shared" ref="G200" si="53">SUM(G201)</f>
        <v>0</v>
      </c>
    </row>
    <row r="201" spans="1:7" x14ac:dyDescent="0.2">
      <c r="A201" s="287"/>
      <c r="B201" s="358">
        <v>3811</v>
      </c>
      <c r="C201" s="358" t="s">
        <v>167</v>
      </c>
      <c r="D201" s="355"/>
      <c r="E201" s="355"/>
      <c r="F201" s="355"/>
      <c r="G201" s="355"/>
    </row>
    <row r="202" spans="1:7" x14ac:dyDescent="0.2">
      <c r="A202" s="287"/>
      <c r="B202" s="358">
        <v>383</v>
      </c>
      <c r="C202" s="358" t="s">
        <v>169</v>
      </c>
      <c r="D202" s="359">
        <f>SUM(D203:D205)</f>
        <v>66.069999999999993</v>
      </c>
      <c r="E202" s="359">
        <f>SUM(E203:E205)</f>
        <v>500</v>
      </c>
      <c r="F202" s="359">
        <f>SUM(F203:F205)</f>
        <v>500</v>
      </c>
      <c r="G202" s="359">
        <f t="shared" ref="G202" si="54">SUM(G203:G205)</f>
        <v>63.53</v>
      </c>
    </row>
    <row r="203" spans="1:7" s="349" customFormat="1" x14ac:dyDescent="0.2">
      <c r="A203" s="302"/>
      <c r="B203" s="358">
        <v>3831</v>
      </c>
      <c r="C203" s="358" t="s">
        <v>296</v>
      </c>
      <c r="D203" s="355"/>
      <c r="E203" s="355"/>
      <c r="F203" s="355"/>
      <c r="G203" s="355"/>
    </row>
    <row r="204" spans="1:7" x14ac:dyDescent="0.2">
      <c r="A204" s="287"/>
      <c r="B204" s="358">
        <v>3833</v>
      </c>
      <c r="C204" s="358" t="s">
        <v>297</v>
      </c>
      <c r="D204" s="355"/>
      <c r="E204" s="355"/>
      <c r="F204" s="355"/>
      <c r="G204" s="355"/>
    </row>
    <row r="205" spans="1:7" x14ac:dyDescent="0.2">
      <c r="A205" s="287"/>
      <c r="B205" s="358">
        <v>3834</v>
      </c>
      <c r="C205" s="358" t="s">
        <v>172</v>
      </c>
      <c r="D205" s="359">
        <f>SUM(D206)</f>
        <v>66.069999999999993</v>
      </c>
      <c r="E205" s="359">
        <f>SUM(E206)</f>
        <v>500</v>
      </c>
      <c r="F205" s="359">
        <f>SUM(F206)</f>
        <v>500</v>
      </c>
      <c r="G205" s="359">
        <f t="shared" ref="G205" si="55">SUM(G206)</f>
        <v>63.53</v>
      </c>
    </row>
    <row r="206" spans="1:7" x14ac:dyDescent="0.2">
      <c r="A206" s="287"/>
      <c r="B206" s="357">
        <v>38341</v>
      </c>
      <c r="C206" s="357" t="s">
        <v>172</v>
      </c>
      <c r="D206" s="355">
        <f>' PRIHODI I RASHODI-izvori'!E205</f>
        <v>66.069999999999993</v>
      </c>
      <c r="E206" s="355">
        <f>' PRIHODI I RASHODI-izvori'!F205</f>
        <v>500</v>
      </c>
      <c r="F206" s="355">
        <f>' PRIHODI I RASHODI-izvori'!G205</f>
        <v>500</v>
      </c>
      <c r="G206" s="355">
        <f>' PRIHODI I RASHODI-izvori'!H205</f>
        <v>63.53</v>
      </c>
    </row>
    <row r="207" spans="1:7" x14ac:dyDescent="0.2">
      <c r="A207" s="287"/>
      <c r="B207" s="358">
        <v>385</v>
      </c>
      <c r="C207" s="358" t="s">
        <v>169</v>
      </c>
      <c r="D207" s="359">
        <f>SUM(D210)</f>
        <v>120.5</v>
      </c>
      <c r="E207" s="359">
        <f>SUM(E210)</f>
        <v>0</v>
      </c>
      <c r="F207" s="359">
        <f>F208+F210</f>
        <v>0</v>
      </c>
      <c r="G207" s="359">
        <f>G208+G210</f>
        <v>153.43</v>
      </c>
    </row>
    <row r="208" spans="1:7" x14ac:dyDescent="0.2">
      <c r="A208" s="287"/>
      <c r="B208" s="358">
        <v>3851</v>
      </c>
      <c r="C208" s="358" t="s">
        <v>625</v>
      </c>
      <c r="D208" s="359"/>
      <c r="E208" s="359"/>
      <c r="F208" s="359">
        <f>F209</f>
        <v>0</v>
      </c>
      <c r="G208" s="359">
        <f>G209</f>
        <v>153.43</v>
      </c>
    </row>
    <row r="209" spans="1:7" x14ac:dyDescent="0.2">
      <c r="A209" s="287"/>
      <c r="B209" s="357">
        <v>38511</v>
      </c>
      <c r="C209" s="357" t="s">
        <v>626</v>
      </c>
      <c r="D209" s="359"/>
      <c r="E209" s="359"/>
      <c r="F209" s="359"/>
      <c r="G209" s="355">
        <f>' PRIHODI I RASHODI-izvori'!H209</f>
        <v>153.43</v>
      </c>
    </row>
    <row r="210" spans="1:7" x14ac:dyDescent="0.2">
      <c r="A210" s="287"/>
      <c r="B210" s="358">
        <v>3859</v>
      </c>
      <c r="C210" s="358" t="s">
        <v>298</v>
      </c>
      <c r="D210" s="355">
        <f>D211</f>
        <v>120.5</v>
      </c>
      <c r="E210" s="355">
        <f>E211</f>
        <v>0</v>
      </c>
      <c r="F210" s="355">
        <f>F211</f>
        <v>0</v>
      </c>
      <c r="G210" s="355">
        <f>G211</f>
        <v>0</v>
      </c>
    </row>
    <row r="211" spans="1:7" x14ac:dyDescent="0.2">
      <c r="A211" s="287"/>
      <c r="B211" s="357">
        <v>38591</v>
      </c>
      <c r="C211" s="357" t="s">
        <v>298</v>
      </c>
      <c r="D211" s="355">
        <f>' PRIHODI I RASHODI-izvori'!E211</f>
        <v>120.5</v>
      </c>
      <c r="E211" s="355">
        <f>' PRIHODI I RASHODI-izvori'!F211</f>
        <v>0</v>
      </c>
      <c r="F211" s="355">
        <f>' PRIHODI I RASHODI-izvori'!G211</f>
        <v>0</v>
      </c>
      <c r="G211" s="355">
        <f>' PRIHODI I RASHODI-izvori'!H211</f>
        <v>0</v>
      </c>
    </row>
    <row r="212" spans="1:7" x14ac:dyDescent="0.2">
      <c r="A212" s="284">
        <v>4</v>
      </c>
      <c r="B212" s="376"/>
      <c r="C212" s="376" t="s">
        <v>174</v>
      </c>
      <c r="D212" s="367">
        <f>D213+D218+D242</f>
        <v>83303.89</v>
      </c>
      <c r="E212" s="367">
        <f>E213+E218+E242</f>
        <v>426425.88</v>
      </c>
      <c r="F212" s="367">
        <f>F213+F218+F242</f>
        <v>369702.17000000004</v>
      </c>
      <c r="G212" s="367">
        <f t="shared" ref="G212" si="56">G213+G218+G242</f>
        <v>169919.99</v>
      </c>
    </row>
    <row r="213" spans="1:7" x14ac:dyDescent="0.2">
      <c r="A213" s="287"/>
      <c r="B213" s="377">
        <v>41</v>
      </c>
      <c r="C213" s="377" t="s">
        <v>299</v>
      </c>
      <c r="D213" s="378">
        <f>SUM(D214,D216)</f>
        <v>0</v>
      </c>
      <c r="E213" s="378">
        <f>SUM(E214,E216)</f>
        <v>0</v>
      </c>
      <c r="F213" s="378">
        <f>SUM(F214,F216)</f>
        <v>0</v>
      </c>
      <c r="G213" s="378">
        <f t="shared" ref="G213" si="57">SUM(G214,G216)</f>
        <v>0</v>
      </c>
    </row>
    <row r="214" spans="1:7" x14ac:dyDescent="0.2">
      <c r="A214" s="287"/>
      <c r="B214" s="358">
        <v>411</v>
      </c>
      <c r="C214" s="358" t="s">
        <v>178</v>
      </c>
      <c r="D214" s="359">
        <f>SUM(D215)</f>
        <v>0</v>
      </c>
      <c r="E214" s="359">
        <f>SUM(E215)</f>
        <v>0</v>
      </c>
      <c r="F214" s="359">
        <f>SUM(F215)</f>
        <v>0</v>
      </c>
      <c r="G214" s="359">
        <f t="shared" ref="G214" si="58">SUM(G215)</f>
        <v>0</v>
      </c>
    </row>
    <row r="215" spans="1:7" x14ac:dyDescent="0.2">
      <c r="A215" s="287"/>
      <c r="B215" s="357">
        <v>41112</v>
      </c>
      <c r="C215" s="357" t="s">
        <v>180</v>
      </c>
      <c r="D215" s="355"/>
      <c r="E215" s="355"/>
      <c r="F215" s="355"/>
      <c r="G215" s="355"/>
    </row>
    <row r="216" spans="1:7" x14ac:dyDescent="0.2">
      <c r="A216" s="287"/>
      <c r="B216" s="358">
        <v>412</v>
      </c>
      <c r="C216" s="358" t="s">
        <v>181</v>
      </c>
      <c r="D216" s="359">
        <f>SUM(D217)</f>
        <v>0</v>
      </c>
      <c r="E216" s="359">
        <f>SUM(E217)</f>
        <v>0</v>
      </c>
      <c r="F216" s="359">
        <f>SUM(F217)</f>
        <v>0</v>
      </c>
      <c r="G216" s="359">
        <f t="shared" ref="G216" si="59">SUM(G217)</f>
        <v>0</v>
      </c>
    </row>
    <row r="217" spans="1:7" x14ac:dyDescent="0.2">
      <c r="A217" s="287"/>
      <c r="B217" s="358">
        <v>4123</v>
      </c>
      <c r="C217" s="358" t="s">
        <v>182</v>
      </c>
      <c r="D217" s="359"/>
      <c r="E217" s="359"/>
      <c r="F217" s="359"/>
      <c r="G217" s="359"/>
    </row>
    <row r="218" spans="1:7" x14ac:dyDescent="0.2">
      <c r="A218" s="287"/>
      <c r="B218" s="377">
        <v>42</v>
      </c>
      <c r="C218" s="377" t="s">
        <v>300</v>
      </c>
      <c r="D218" s="378">
        <f t="shared" ref="D218" si="60">D219+D221+D237</f>
        <v>73390.02</v>
      </c>
      <c r="E218" s="378">
        <f t="shared" ref="E218:G218" si="61">E219+E221+E237</f>
        <v>242964.4</v>
      </c>
      <c r="F218" s="378">
        <f t="shared" ref="F218" si="62">F219+F221+F237</f>
        <v>285828.35000000003</v>
      </c>
      <c r="G218" s="378">
        <f t="shared" si="61"/>
        <v>138918.74</v>
      </c>
    </row>
    <row r="219" spans="1:7" x14ac:dyDescent="0.2">
      <c r="A219" s="287"/>
      <c r="B219" s="358">
        <v>421</v>
      </c>
      <c r="C219" s="358" t="s">
        <v>207</v>
      </c>
      <c r="D219" s="359">
        <f>SUM(D220)</f>
        <v>0</v>
      </c>
      <c r="E219" s="359">
        <f>SUM(E220)</f>
        <v>0</v>
      </c>
      <c r="F219" s="359">
        <f>SUM(F220)</f>
        <v>0</v>
      </c>
      <c r="G219" s="359">
        <f t="shared" ref="G219" si="63">SUM(G220)</f>
        <v>0</v>
      </c>
    </row>
    <row r="220" spans="1:7" x14ac:dyDescent="0.2">
      <c r="A220" s="287"/>
      <c r="B220" s="358">
        <v>4212</v>
      </c>
      <c r="C220" s="358" t="s">
        <v>209</v>
      </c>
      <c r="D220" s="359"/>
      <c r="E220" s="359"/>
      <c r="F220" s="359"/>
      <c r="G220" s="359"/>
    </row>
    <row r="221" spans="1:7" x14ac:dyDescent="0.2">
      <c r="A221" s="287"/>
      <c r="B221" s="358">
        <v>422</v>
      </c>
      <c r="C221" s="358" t="s">
        <v>184</v>
      </c>
      <c r="D221" s="359">
        <f t="shared" ref="D221" si="64">D222+D226+D227+D230+D233+D235</f>
        <v>73390.02</v>
      </c>
      <c r="E221" s="359">
        <f t="shared" ref="E221:G221" si="65">E222+E226+E227+E230+E233+E235</f>
        <v>236242.12</v>
      </c>
      <c r="F221" s="359">
        <f t="shared" ref="F221" si="66">F222+F226+F227+F230+F233+F235</f>
        <v>279106.07</v>
      </c>
      <c r="G221" s="359">
        <f t="shared" si="65"/>
        <v>138918.74</v>
      </c>
    </row>
    <row r="222" spans="1:7" x14ac:dyDescent="0.2">
      <c r="A222" s="287"/>
      <c r="B222" s="358">
        <v>4221</v>
      </c>
      <c r="C222" s="358" t="s">
        <v>186</v>
      </c>
      <c r="D222" s="359">
        <f t="shared" ref="D222:E222" si="67">SUM(D223:D225)</f>
        <v>668.13</v>
      </c>
      <c r="E222" s="359">
        <f t="shared" si="67"/>
        <v>40617.659999999996</v>
      </c>
      <c r="F222" s="359">
        <f t="shared" ref="F222" si="68">SUM(F223:F225)</f>
        <v>19272.28</v>
      </c>
      <c r="G222" s="359">
        <f>SUM(G223:G225)</f>
        <v>0</v>
      </c>
    </row>
    <row r="223" spans="1:7" x14ac:dyDescent="0.2">
      <c r="A223" s="287"/>
      <c r="B223" s="357">
        <v>42211</v>
      </c>
      <c r="C223" s="357" t="s">
        <v>445</v>
      </c>
      <c r="D223" s="355">
        <f>' PRIHODI I RASHODI-izvori'!E45+' PRIHODI I RASHODI-izvori'!E221</f>
        <v>253.13</v>
      </c>
      <c r="E223" s="355">
        <f>' PRIHODI I RASHODI-izvori'!F45+' PRIHODI I RASHODI-izvori'!F221</f>
        <v>7115.38</v>
      </c>
      <c r="F223" s="355">
        <f>' PRIHODI I RASHODI-izvori'!G45+' PRIHODI I RASHODI-izvori'!G221</f>
        <v>6250</v>
      </c>
      <c r="G223" s="355">
        <f>' PRIHODI I RASHODI-izvori'!H45+' PRIHODI I RASHODI-izvori'!H221</f>
        <v>0</v>
      </c>
    </row>
    <row r="224" spans="1:7" x14ac:dyDescent="0.2">
      <c r="A224" s="287"/>
      <c r="B224" s="357">
        <v>42212</v>
      </c>
      <c r="C224" s="357" t="s">
        <v>446</v>
      </c>
      <c r="D224" s="355">
        <f>' PRIHODI I RASHODI-izvori'!E46+' PRIHODI I RASHODI-izvori'!E222+' PRIHODI I RASHODI-izvori'!E340</f>
        <v>415</v>
      </c>
      <c r="E224" s="355">
        <f>' PRIHODI I RASHODI-izvori'!F46+' PRIHODI I RASHODI-izvori'!F222+' PRIHODI I RASHODI-izvori'!F340</f>
        <v>32152.28</v>
      </c>
      <c r="F224" s="355">
        <f>' PRIHODI I RASHODI-izvori'!G46+' PRIHODI I RASHODI-izvori'!G222+' PRIHODI I RASHODI-izvori'!G340</f>
        <v>11672.28</v>
      </c>
      <c r="G224" s="355">
        <f>' PRIHODI I RASHODI-izvori'!H46+' PRIHODI I RASHODI-izvori'!H222+' PRIHODI I RASHODI-izvori'!H340</f>
        <v>0</v>
      </c>
    </row>
    <row r="225" spans="1:7" x14ac:dyDescent="0.2">
      <c r="A225" s="287"/>
      <c r="B225" s="357">
        <v>42219</v>
      </c>
      <c r="C225" s="357" t="s">
        <v>447</v>
      </c>
      <c r="D225" s="355">
        <f>' PRIHODI I RASHODI-izvori'!E223</f>
        <v>0</v>
      </c>
      <c r="E225" s="355">
        <f>' PRIHODI I RASHODI-izvori'!F223</f>
        <v>1350</v>
      </c>
      <c r="F225" s="355">
        <f>' PRIHODI I RASHODI-izvori'!G223</f>
        <v>1350</v>
      </c>
      <c r="G225" s="355">
        <f>' PRIHODI I RASHODI-izvori'!H223</f>
        <v>0</v>
      </c>
    </row>
    <row r="226" spans="1:7" x14ac:dyDescent="0.2">
      <c r="A226" s="287"/>
      <c r="B226" s="358">
        <v>4222</v>
      </c>
      <c r="C226" s="358" t="s">
        <v>188</v>
      </c>
      <c r="D226" s="359"/>
      <c r="E226" s="359"/>
      <c r="F226" s="359"/>
      <c r="G226" s="359"/>
    </row>
    <row r="227" spans="1:7" x14ac:dyDescent="0.2">
      <c r="A227" s="287"/>
      <c r="B227" s="358">
        <v>4223</v>
      </c>
      <c r="C227" s="358" t="s">
        <v>301</v>
      </c>
      <c r="D227" s="359">
        <f t="shared" ref="D227" si="69">SUM(D228:D229)</f>
        <v>2414</v>
      </c>
      <c r="E227" s="359">
        <f t="shared" ref="E227:G227" si="70">SUM(E228:E229)</f>
        <v>20790.28</v>
      </c>
      <c r="F227" s="359">
        <f t="shared" ref="F227" si="71">SUM(F228:F229)</f>
        <v>16272.28</v>
      </c>
      <c r="G227" s="359">
        <f t="shared" si="70"/>
        <v>0</v>
      </c>
    </row>
    <row r="228" spans="1:7" x14ac:dyDescent="0.2">
      <c r="A228" s="287"/>
      <c r="B228" s="357">
        <v>42231</v>
      </c>
      <c r="C228" s="357" t="s">
        <v>449</v>
      </c>
      <c r="D228" s="355">
        <f>' PRIHODI I RASHODI-izvori'!E48+' PRIHODI I RASHODI-izvori'!E226+' PRIHODI I RASHODI-izvori'!E343</f>
        <v>2414</v>
      </c>
      <c r="E228" s="355">
        <f>' PRIHODI I RASHODI-izvori'!F48+' PRIHODI I RASHODI-izvori'!F226+' PRIHODI I RASHODI-izvori'!F343</f>
        <v>20440.28</v>
      </c>
      <c r="F228" s="355">
        <f>' PRIHODI I RASHODI-izvori'!G48+' PRIHODI I RASHODI-izvori'!G226+' PRIHODI I RASHODI-izvori'!G343</f>
        <v>15922.28</v>
      </c>
      <c r="G228" s="355">
        <f>' PRIHODI I RASHODI-izvori'!H48+' PRIHODI I RASHODI-izvori'!H226+' PRIHODI I RASHODI-izvori'!H343</f>
        <v>0</v>
      </c>
    </row>
    <row r="229" spans="1:7" x14ac:dyDescent="0.2">
      <c r="A229" s="287"/>
      <c r="B229" s="357">
        <v>42232</v>
      </c>
      <c r="C229" s="357" t="s">
        <v>448</v>
      </c>
      <c r="D229" s="355">
        <f>' PRIHODI I RASHODI-izvori'!E227</f>
        <v>0</v>
      </c>
      <c r="E229" s="355">
        <f>' PRIHODI I RASHODI-izvori'!F227</f>
        <v>350</v>
      </c>
      <c r="F229" s="355">
        <f>' PRIHODI I RASHODI-izvori'!G227</f>
        <v>350</v>
      </c>
      <c r="G229" s="355">
        <f>' PRIHODI I RASHODI-izvori'!H227</f>
        <v>0</v>
      </c>
    </row>
    <row r="230" spans="1:7" x14ac:dyDescent="0.2">
      <c r="A230" s="287"/>
      <c r="B230" s="358">
        <v>4224</v>
      </c>
      <c r="C230" s="358" t="s">
        <v>190</v>
      </c>
      <c r="D230" s="359">
        <f>SUM(D231:D232)</f>
        <v>59927.5</v>
      </c>
      <c r="E230" s="359">
        <f>SUM(E231:E232)</f>
        <v>127591.1</v>
      </c>
      <c r="F230" s="359">
        <f>SUM(F231:F232)</f>
        <v>199225.26</v>
      </c>
      <c r="G230" s="359">
        <f t="shared" ref="G230" si="72">SUM(G231:G232)</f>
        <v>132818.75</v>
      </c>
    </row>
    <row r="231" spans="1:7" x14ac:dyDescent="0.2">
      <c r="A231" s="287"/>
      <c r="B231" s="357">
        <v>42241</v>
      </c>
      <c r="C231" s="357" t="s">
        <v>450</v>
      </c>
      <c r="D231" s="355">
        <f>' PRIHODI I RASHODI-izvori'!E50+' PRIHODI I RASHODI-izvori'!E229+' PRIHODI I RASHODI-izvori'!E488</f>
        <v>59927.5</v>
      </c>
      <c r="E231" s="355">
        <f>' PRIHODI I RASHODI-izvori'!F50+' PRIHODI I RASHODI-izvori'!F229+' PRIHODI I RASHODI-izvori'!F488</f>
        <v>125341.1</v>
      </c>
      <c r="F231" s="355">
        <f>' PRIHODI I RASHODI-izvori'!G50+' PRIHODI I RASHODI-izvori'!G229+' PRIHODI I RASHODI-izvori'!G488</f>
        <v>196975.26</v>
      </c>
      <c r="G231" s="355">
        <f>' PRIHODI I RASHODI-izvori'!H50+' PRIHODI I RASHODI-izvori'!H229+' PRIHODI I RASHODI-izvori'!H488+' PRIHODI I RASHODI-izvori'!H419</f>
        <v>132818.75</v>
      </c>
    </row>
    <row r="232" spans="1:7" x14ac:dyDescent="0.2">
      <c r="A232" s="287"/>
      <c r="B232" s="357">
        <v>42242</v>
      </c>
      <c r="C232" s="357" t="s">
        <v>451</v>
      </c>
      <c r="D232" s="355">
        <f>' PRIHODI I RASHODI-izvori'!E230</f>
        <v>0</v>
      </c>
      <c r="E232" s="355">
        <f>' PRIHODI I RASHODI-izvori'!F230</f>
        <v>2250</v>
      </c>
      <c r="F232" s="355">
        <f>' PRIHODI I RASHODI-izvori'!G230</f>
        <v>2250</v>
      </c>
      <c r="G232" s="355">
        <f>' PRIHODI I RASHODI-izvori'!H230</f>
        <v>0</v>
      </c>
    </row>
    <row r="233" spans="1:7" x14ac:dyDescent="0.2">
      <c r="A233" s="287"/>
      <c r="B233" s="358">
        <v>4225</v>
      </c>
      <c r="C233" s="358" t="s">
        <v>191</v>
      </c>
      <c r="D233" s="359">
        <f>SUM(D234)</f>
        <v>10000</v>
      </c>
      <c r="E233" s="359">
        <f>SUM(E234)</f>
        <v>43261.4</v>
      </c>
      <c r="F233" s="359">
        <f>SUM(F234)</f>
        <v>40354.57</v>
      </c>
      <c r="G233" s="359">
        <f t="shared" ref="G233" si="73">SUM(G234)</f>
        <v>5850</v>
      </c>
    </row>
    <row r="234" spans="1:7" x14ac:dyDescent="0.2">
      <c r="A234" s="287"/>
      <c r="B234" s="357">
        <v>42259</v>
      </c>
      <c r="C234" s="357" t="s">
        <v>191</v>
      </c>
      <c r="D234" s="355">
        <f>' PRIHODI I RASHODI-izvori'!E52+' PRIHODI I RASHODI-izvori'!E232</f>
        <v>10000</v>
      </c>
      <c r="E234" s="355">
        <f>' PRIHODI I RASHODI-izvori'!F52+' PRIHODI I RASHODI-izvori'!F232</f>
        <v>43261.4</v>
      </c>
      <c r="F234" s="355">
        <f>' PRIHODI I RASHODI-izvori'!G52+' PRIHODI I RASHODI-izvori'!G232</f>
        <v>40354.57</v>
      </c>
      <c r="G234" s="355">
        <f>' PRIHODI I RASHODI-izvori'!H52+' PRIHODI I RASHODI-izvori'!H232</f>
        <v>5850</v>
      </c>
    </row>
    <row r="235" spans="1:7" x14ac:dyDescent="0.2">
      <c r="A235" s="287"/>
      <c r="B235" s="358">
        <v>4227</v>
      </c>
      <c r="C235" s="358" t="s">
        <v>192</v>
      </c>
      <c r="D235" s="359">
        <f>D236</f>
        <v>380.39</v>
      </c>
      <c r="E235" s="359">
        <f>E236</f>
        <v>3981.68</v>
      </c>
      <c r="F235" s="359">
        <f>F236</f>
        <v>3981.68</v>
      </c>
      <c r="G235" s="359">
        <f t="shared" ref="G235" si="74">G236</f>
        <v>249.99</v>
      </c>
    </row>
    <row r="236" spans="1:7" x14ac:dyDescent="0.2">
      <c r="A236" s="287"/>
      <c r="B236" s="357">
        <v>42273</v>
      </c>
      <c r="C236" s="357" t="s">
        <v>192</v>
      </c>
      <c r="D236" s="355">
        <f>' PRIHODI I RASHODI-izvori'!E234+' PRIHODI I RASHODI-izvori'!E347</f>
        <v>380.39</v>
      </c>
      <c r="E236" s="355">
        <f>' PRIHODI I RASHODI-izvori'!F234+' PRIHODI I RASHODI-izvori'!F347</f>
        <v>3981.68</v>
      </c>
      <c r="F236" s="355">
        <f>' PRIHODI I RASHODI-izvori'!G234+' PRIHODI I RASHODI-izvori'!G347</f>
        <v>3981.68</v>
      </c>
      <c r="G236" s="355">
        <f>' PRIHODI I RASHODI-izvori'!H234+' PRIHODI I RASHODI-izvori'!H347</f>
        <v>249.99</v>
      </c>
    </row>
    <row r="237" spans="1:7" x14ac:dyDescent="0.2">
      <c r="A237" s="287"/>
      <c r="B237" s="358">
        <v>423</v>
      </c>
      <c r="C237" s="358" t="s">
        <v>193</v>
      </c>
      <c r="D237" s="359">
        <f>D238</f>
        <v>0</v>
      </c>
      <c r="E237" s="359">
        <f>E238</f>
        <v>6722.28</v>
      </c>
      <c r="F237" s="359">
        <f>F238</f>
        <v>6722.28</v>
      </c>
      <c r="G237" s="359">
        <f t="shared" ref="G237" si="75">G238</f>
        <v>0</v>
      </c>
    </row>
    <row r="238" spans="1:7" x14ac:dyDescent="0.2">
      <c r="A238" s="287"/>
      <c r="B238" s="358">
        <v>4231</v>
      </c>
      <c r="C238" s="358" t="s">
        <v>193</v>
      </c>
      <c r="D238" s="359">
        <f>SUM(D239)</f>
        <v>0</v>
      </c>
      <c r="E238" s="359">
        <f>SUM(E239)</f>
        <v>6722.28</v>
      </c>
      <c r="F238" s="359">
        <f>SUM(F239)</f>
        <v>6722.28</v>
      </c>
      <c r="G238" s="359">
        <f t="shared" ref="G238" si="76">SUM(G239)</f>
        <v>0</v>
      </c>
    </row>
    <row r="239" spans="1:7" x14ac:dyDescent="0.2">
      <c r="A239" s="287"/>
      <c r="B239" s="357">
        <v>42311</v>
      </c>
      <c r="C239" s="357" t="s">
        <v>452</v>
      </c>
      <c r="D239" s="355">
        <f>' PRIHODI I RASHODI-izvori'!E237</f>
        <v>0</v>
      </c>
      <c r="E239" s="355">
        <f>' PRIHODI I RASHODI-izvori'!F237</f>
        <v>6722.28</v>
      </c>
      <c r="F239" s="355">
        <f>' PRIHODI I RASHODI-izvori'!G237</f>
        <v>6722.28</v>
      </c>
      <c r="G239" s="355">
        <f>' PRIHODI I RASHODI-izvori'!H237</f>
        <v>0</v>
      </c>
    </row>
    <row r="240" spans="1:7" s="364" customFormat="1" x14ac:dyDescent="0.2">
      <c r="A240" s="287"/>
      <c r="B240" s="358">
        <v>426</v>
      </c>
      <c r="C240" s="358" t="s">
        <v>302</v>
      </c>
      <c r="D240" s="359">
        <f>D241</f>
        <v>0</v>
      </c>
      <c r="E240" s="359">
        <f>E241</f>
        <v>0</v>
      </c>
      <c r="F240" s="359">
        <f>F241</f>
        <v>0</v>
      </c>
      <c r="G240" s="359">
        <f t="shared" ref="G240" si="77">G241</f>
        <v>0</v>
      </c>
    </row>
    <row r="241" spans="1:7" x14ac:dyDescent="0.2">
      <c r="A241" s="287"/>
      <c r="B241" s="358">
        <v>4262</v>
      </c>
      <c r="C241" s="358" t="s">
        <v>195</v>
      </c>
      <c r="D241" s="359"/>
      <c r="E241" s="359"/>
      <c r="F241" s="359"/>
      <c r="G241" s="359"/>
    </row>
    <row r="242" spans="1:7" x14ac:dyDescent="0.2">
      <c r="A242" s="287"/>
      <c r="B242" s="377">
        <v>45</v>
      </c>
      <c r="C242" s="377" t="s">
        <v>199</v>
      </c>
      <c r="D242" s="378">
        <f>SUM(D243,D246)</f>
        <v>9913.8700000000008</v>
      </c>
      <c r="E242" s="378">
        <f>SUM(E243,E246)</f>
        <v>183461.48</v>
      </c>
      <c r="F242" s="378">
        <f>SUM(F243,F246)</f>
        <v>83873.820000000007</v>
      </c>
      <c r="G242" s="378">
        <f t="shared" ref="G242" si="78">SUM(G243,G246)</f>
        <v>31001.25</v>
      </c>
    </row>
    <row r="243" spans="1:7" x14ac:dyDescent="0.2">
      <c r="A243" s="287"/>
      <c r="B243" s="358">
        <v>451</v>
      </c>
      <c r="C243" s="358" t="s">
        <v>207</v>
      </c>
      <c r="D243" s="359">
        <f t="shared" ref="D243:F244" si="79">SUM(D244)</f>
        <v>9913.8700000000008</v>
      </c>
      <c r="E243" s="359">
        <f t="shared" si="79"/>
        <v>183461.48</v>
      </c>
      <c r="F243" s="359">
        <f t="shared" si="79"/>
        <v>83873.820000000007</v>
      </c>
      <c r="G243" s="359">
        <f t="shared" ref="G243:G244" si="80">SUM(G244)</f>
        <v>31001.25</v>
      </c>
    </row>
    <row r="244" spans="1:7" x14ac:dyDescent="0.2">
      <c r="A244" s="287"/>
      <c r="B244" s="358">
        <v>4511</v>
      </c>
      <c r="C244" s="358" t="s">
        <v>199</v>
      </c>
      <c r="D244" s="359">
        <f t="shared" si="79"/>
        <v>9913.8700000000008</v>
      </c>
      <c r="E244" s="359">
        <f t="shared" si="79"/>
        <v>183461.48</v>
      </c>
      <c r="F244" s="359">
        <f t="shared" si="79"/>
        <v>83873.820000000007</v>
      </c>
      <c r="G244" s="359">
        <f t="shared" si="80"/>
        <v>31001.25</v>
      </c>
    </row>
    <row r="245" spans="1:7" x14ac:dyDescent="0.2">
      <c r="A245" s="287"/>
      <c r="B245" s="357">
        <v>45111</v>
      </c>
      <c r="C245" s="357" t="s">
        <v>199</v>
      </c>
      <c r="D245" s="355">
        <f>' PRIHODI I RASHODI-izvori'!E56+' PRIHODI I RASHODI-izvori'!E243+' PRIHODI I RASHODI-izvori'!E469</f>
        <v>9913.8700000000008</v>
      </c>
      <c r="E245" s="355">
        <f>' PRIHODI I RASHODI-izvori'!F56+' PRIHODI I RASHODI-izvori'!F243+' PRIHODI I RASHODI-izvori'!F469</f>
        <v>183461.48</v>
      </c>
      <c r="F245" s="355">
        <f>' PRIHODI I RASHODI-izvori'!G56+' PRIHODI I RASHODI-izvori'!G243+' PRIHODI I RASHODI-izvori'!G469</f>
        <v>83873.820000000007</v>
      </c>
      <c r="G245" s="355">
        <f>' PRIHODI I RASHODI-izvori'!H56+' PRIHODI I RASHODI-izvori'!H243+' PRIHODI I RASHODI-izvori'!H494</f>
        <v>31001.25</v>
      </c>
    </row>
    <row r="246" spans="1:7" s="364" customFormat="1" x14ac:dyDescent="0.2">
      <c r="A246" s="379"/>
      <c r="B246" s="358">
        <v>452</v>
      </c>
      <c r="C246" s="358" t="s">
        <v>202</v>
      </c>
      <c r="D246" s="359">
        <f>D247</f>
        <v>0</v>
      </c>
      <c r="E246" s="359">
        <f>E247</f>
        <v>0</v>
      </c>
      <c r="F246" s="359">
        <f>F247</f>
        <v>0</v>
      </c>
      <c r="G246" s="359">
        <f t="shared" ref="G246" si="81">G247</f>
        <v>0</v>
      </c>
    </row>
    <row r="247" spans="1:7" x14ac:dyDescent="0.2">
      <c r="A247" s="379"/>
      <c r="B247" s="728">
        <v>4521</v>
      </c>
      <c r="C247" s="728" t="s">
        <v>202</v>
      </c>
      <c r="D247" s="729"/>
      <c r="E247" s="729"/>
      <c r="F247" s="729"/>
      <c r="G247" s="729"/>
    </row>
    <row r="248" spans="1:7" ht="18.75" x14ac:dyDescent="0.3">
      <c r="A248" s="913" t="s">
        <v>303</v>
      </c>
      <c r="B248" s="914"/>
      <c r="C248" s="915"/>
      <c r="D248" s="369">
        <f>D57+D212</f>
        <v>2650450.4500000002</v>
      </c>
      <c r="E248" s="369">
        <f>E57+E212</f>
        <v>4725934.5699999994</v>
      </c>
      <c r="F248" s="369">
        <f>F57+F212</f>
        <v>4614031.7699999996</v>
      </c>
      <c r="G248" s="369">
        <f>G57+G212</f>
        <v>2566545.0700000003</v>
      </c>
    </row>
    <row r="250" spans="1:7" x14ac:dyDescent="0.2">
      <c r="E250" s="380"/>
      <c r="F250" s="380"/>
      <c r="G250" s="380"/>
    </row>
  </sheetData>
  <mergeCells count="10">
    <mergeCell ref="A51:C51"/>
    <mergeCell ref="A54:G54"/>
    <mergeCell ref="A56:C56"/>
    <mergeCell ref="A248:C248"/>
    <mergeCell ref="A1:G1"/>
    <mergeCell ref="A2:G3"/>
    <mergeCell ref="A4:G4"/>
    <mergeCell ref="B5:G5"/>
    <mergeCell ref="A7:G7"/>
    <mergeCell ref="A9:C9"/>
  </mergeCells>
  <pageMargins left="0.7" right="0.7" top="0.75" bottom="0.75" header="0.3" footer="0.3"/>
  <pageSetup paperSize="9" scale="7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56"/>
  <sheetViews>
    <sheetView workbookViewId="0">
      <selection activeCell="E94" sqref="E94"/>
    </sheetView>
  </sheetViews>
  <sheetFormatPr defaultRowHeight="15" x14ac:dyDescent="0.25"/>
  <cols>
    <col min="1" max="1" width="7" style="3" bestFit="1" customWidth="1"/>
    <col min="2" max="2" width="10" style="3" customWidth="1"/>
    <col min="3" max="3" width="5.28515625" style="3" bestFit="1" customWidth="1"/>
    <col min="4" max="4" width="62.140625" style="3" bestFit="1" customWidth="1"/>
    <col min="5" max="5" width="23.7109375" style="3" bestFit="1" customWidth="1"/>
    <col min="6" max="7" width="16.28515625" style="270" bestFit="1" customWidth="1"/>
    <col min="8" max="8" width="25.140625" style="3" customWidth="1"/>
    <col min="9" max="9" width="10.42578125" style="586" customWidth="1"/>
    <col min="10" max="10" width="8.7109375" style="586" bestFit="1" customWidth="1"/>
    <col min="11" max="14" width="15.140625" style="3" customWidth="1"/>
    <col min="15" max="15" width="16.7109375" style="3" hidden="1" customWidth="1"/>
    <col min="16" max="16" width="16.42578125" style="3" hidden="1" customWidth="1"/>
    <col min="17" max="17" width="12.5703125" style="3" hidden="1" customWidth="1"/>
    <col min="18" max="19" width="10.7109375" style="3" bestFit="1" customWidth="1"/>
    <col min="20" max="20" width="10.28515625" style="3" bestFit="1" customWidth="1"/>
    <col min="21" max="21" width="11.85546875" style="3" bestFit="1" customWidth="1"/>
    <col min="22" max="22" width="15.42578125" style="3" customWidth="1"/>
    <col min="23" max="258" width="9.140625" style="3"/>
    <col min="259" max="259" width="7" style="3" bestFit="1" customWidth="1"/>
    <col min="260" max="260" width="10" style="3" customWidth="1"/>
    <col min="261" max="261" width="5.28515625" style="3" bestFit="1" customWidth="1"/>
    <col min="262" max="262" width="55" style="3" customWidth="1"/>
    <col min="263" max="263" width="17" style="3" bestFit="1" customWidth="1"/>
    <col min="264" max="264" width="19.140625" style="3" customWidth="1"/>
    <col min="265" max="265" width="19.42578125" style="3" customWidth="1"/>
    <col min="266" max="270" width="15.140625" style="3" customWidth="1"/>
    <col min="271" max="273" width="0" style="3" hidden="1" customWidth="1"/>
    <col min="274" max="275" width="10.7109375" style="3" bestFit="1" customWidth="1"/>
    <col min="276" max="276" width="10.28515625" style="3" bestFit="1" customWidth="1"/>
    <col min="277" max="277" width="11.85546875" style="3" bestFit="1" customWidth="1"/>
    <col min="278" max="278" width="15.42578125" style="3" customWidth="1"/>
    <col min="279" max="514" width="9.140625" style="3"/>
    <col min="515" max="515" width="7" style="3" bestFit="1" customWidth="1"/>
    <col min="516" max="516" width="10" style="3" customWidth="1"/>
    <col min="517" max="517" width="5.28515625" style="3" bestFit="1" customWidth="1"/>
    <col min="518" max="518" width="55" style="3" customWidth="1"/>
    <col min="519" max="519" width="17" style="3" bestFit="1" customWidth="1"/>
    <col min="520" max="520" width="19.140625" style="3" customWidth="1"/>
    <col min="521" max="521" width="19.42578125" style="3" customWidth="1"/>
    <col min="522" max="526" width="15.140625" style="3" customWidth="1"/>
    <col min="527" max="529" width="0" style="3" hidden="1" customWidth="1"/>
    <col min="530" max="531" width="10.7109375" style="3" bestFit="1" customWidth="1"/>
    <col min="532" max="532" width="10.28515625" style="3" bestFit="1" customWidth="1"/>
    <col min="533" max="533" width="11.85546875" style="3" bestFit="1" customWidth="1"/>
    <col min="534" max="534" width="15.42578125" style="3" customWidth="1"/>
    <col min="535" max="770" width="9.140625" style="3"/>
    <col min="771" max="771" width="7" style="3" bestFit="1" customWidth="1"/>
    <col min="772" max="772" width="10" style="3" customWidth="1"/>
    <col min="773" max="773" width="5.28515625" style="3" bestFit="1" customWidth="1"/>
    <col min="774" max="774" width="55" style="3" customWidth="1"/>
    <col min="775" max="775" width="17" style="3" bestFit="1" customWidth="1"/>
    <col min="776" max="776" width="19.140625" style="3" customWidth="1"/>
    <col min="777" max="777" width="19.42578125" style="3" customWidth="1"/>
    <col min="778" max="782" width="15.140625" style="3" customWidth="1"/>
    <col min="783" max="785" width="0" style="3" hidden="1" customWidth="1"/>
    <col min="786" max="787" width="10.7109375" style="3" bestFit="1" customWidth="1"/>
    <col min="788" max="788" width="10.28515625" style="3" bestFit="1" customWidth="1"/>
    <col min="789" max="789" width="11.85546875" style="3" bestFit="1" customWidth="1"/>
    <col min="790" max="790" width="15.42578125" style="3" customWidth="1"/>
    <col min="791" max="1026" width="9.140625" style="3"/>
    <col min="1027" max="1027" width="7" style="3" bestFit="1" customWidth="1"/>
    <col min="1028" max="1028" width="10" style="3" customWidth="1"/>
    <col min="1029" max="1029" width="5.28515625" style="3" bestFit="1" customWidth="1"/>
    <col min="1030" max="1030" width="55" style="3" customWidth="1"/>
    <col min="1031" max="1031" width="17" style="3" bestFit="1" customWidth="1"/>
    <col min="1032" max="1032" width="19.140625" style="3" customWidth="1"/>
    <col min="1033" max="1033" width="19.42578125" style="3" customWidth="1"/>
    <col min="1034" max="1038" width="15.140625" style="3" customWidth="1"/>
    <col min="1039" max="1041" width="0" style="3" hidden="1" customWidth="1"/>
    <col min="1042" max="1043" width="10.7109375" style="3" bestFit="1" customWidth="1"/>
    <col min="1044" max="1044" width="10.28515625" style="3" bestFit="1" customWidth="1"/>
    <col min="1045" max="1045" width="11.85546875" style="3" bestFit="1" customWidth="1"/>
    <col min="1046" max="1046" width="15.42578125" style="3" customWidth="1"/>
    <col min="1047" max="1282" width="9.140625" style="3"/>
    <col min="1283" max="1283" width="7" style="3" bestFit="1" customWidth="1"/>
    <col min="1284" max="1284" width="10" style="3" customWidth="1"/>
    <col min="1285" max="1285" width="5.28515625" style="3" bestFit="1" customWidth="1"/>
    <col min="1286" max="1286" width="55" style="3" customWidth="1"/>
    <col min="1287" max="1287" width="17" style="3" bestFit="1" customWidth="1"/>
    <col min="1288" max="1288" width="19.140625" style="3" customWidth="1"/>
    <col min="1289" max="1289" width="19.42578125" style="3" customWidth="1"/>
    <col min="1290" max="1294" width="15.140625" style="3" customWidth="1"/>
    <col min="1295" max="1297" width="0" style="3" hidden="1" customWidth="1"/>
    <col min="1298" max="1299" width="10.7109375" style="3" bestFit="1" customWidth="1"/>
    <col min="1300" max="1300" width="10.28515625" style="3" bestFit="1" customWidth="1"/>
    <col min="1301" max="1301" width="11.85546875" style="3" bestFit="1" customWidth="1"/>
    <col min="1302" max="1302" width="15.42578125" style="3" customWidth="1"/>
    <col min="1303" max="1538" width="9.140625" style="3"/>
    <col min="1539" max="1539" width="7" style="3" bestFit="1" customWidth="1"/>
    <col min="1540" max="1540" width="10" style="3" customWidth="1"/>
    <col min="1541" max="1541" width="5.28515625" style="3" bestFit="1" customWidth="1"/>
    <col min="1542" max="1542" width="55" style="3" customWidth="1"/>
    <col min="1543" max="1543" width="17" style="3" bestFit="1" customWidth="1"/>
    <col min="1544" max="1544" width="19.140625" style="3" customWidth="1"/>
    <col min="1545" max="1545" width="19.42578125" style="3" customWidth="1"/>
    <col min="1546" max="1550" width="15.140625" style="3" customWidth="1"/>
    <col min="1551" max="1553" width="0" style="3" hidden="1" customWidth="1"/>
    <col min="1554" max="1555" width="10.7109375" style="3" bestFit="1" customWidth="1"/>
    <col min="1556" max="1556" width="10.28515625" style="3" bestFit="1" customWidth="1"/>
    <col min="1557" max="1557" width="11.85546875" style="3" bestFit="1" customWidth="1"/>
    <col min="1558" max="1558" width="15.42578125" style="3" customWidth="1"/>
    <col min="1559" max="1794" width="9.140625" style="3"/>
    <col min="1795" max="1795" width="7" style="3" bestFit="1" customWidth="1"/>
    <col min="1796" max="1796" width="10" style="3" customWidth="1"/>
    <col min="1797" max="1797" width="5.28515625" style="3" bestFit="1" customWidth="1"/>
    <col min="1798" max="1798" width="55" style="3" customWidth="1"/>
    <col min="1799" max="1799" width="17" style="3" bestFit="1" customWidth="1"/>
    <col min="1800" max="1800" width="19.140625" style="3" customWidth="1"/>
    <col min="1801" max="1801" width="19.42578125" style="3" customWidth="1"/>
    <col min="1802" max="1806" width="15.140625" style="3" customWidth="1"/>
    <col min="1807" max="1809" width="0" style="3" hidden="1" customWidth="1"/>
    <col min="1810" max="1811" width="10.7109375" style="3" bestFit="1" customWidth="1"/>
    <col min="1812" max="1812" width="10.28515625" style="3" bestFit="1" customWidth="1"/>
    <col min="1813" max="1813" width="11.85546875" style="3" bestFit="1" customWidth="1"/>
    <col min="1814" max="1814" width="15.42578125" style="3" customWidth="1"/>
    <col min="1815" max="2050" width="9.140625" style="3"/>
    <col min="2051" max="2051" width="7" style="3" bestFit="1" customWidth="1"/>
    <col min="2052" max="2052" width="10" style="3" customWidth="1"/>
    <col min="2053" max="2053" width="5.28515625" style="3" bestFit="1" customWidth="1"/>
    <col min="2054" max="2054" width="55" style="3" customWidth="1"/>
    <col min="2055" max="2055" width="17" style="3" bestFit="1" customWidth="1"/>
    <col min="2056" max="2056" width="19.140625" style="3" customWidth="1"/>
    <col min="2057" max="2057" width="19.42578125" style="3" customWidth="1"/>
    <col min="2058" max="2062" width="15.140625" style="3" customWidth="1"/>
    <col min="2063" max="2065" width="0" style="3" hidden="1" customWidth="1"/>
    <col min="2066" max="2067" width="10.7109375" style="3" bestFit="1" customWidth="1"/>
    <col min="2068" max="2068" width="10.28515625" style="3" bestFit="1" customWidth="1"/>
    <col min="2069" max="2069" width="11.85546875" style="3" bestFit="1" customWidth="1"/>
    <col min="2070" max="2070" width="15.42578125" style="3" customWidth="1"/>
    <col min="2071" max="2306" width="9.140625" style="3"/>
    <col min="2307" max="2307" width="7" style="3" bestFit="1" customWidth="1"/>
    <col min="2308" max="2308" width="10" style="3" customWidth="1"/>
    <col min="2309" max="2309" width="5.28515625" style="3" bestFit="1" customWidth="1"/>
    <col min="2310" max="2310" width="55" style="3" customWidth="1"/>
    <col min="2311" max="2311" width="17" style="3" bestFit="1" customWidth="1"/>
    <col min="2312" max="2312" width="19.140625" style="3" customWidth="1"/>
    <col min="2313" max="2313" width="19.42578125" style="3" customWidth="1"/>
    <col min="2314" max="2318" width="15.140625" style="3" customWidth="1"/>
    <col min="2319" max="2321" width="0" style="3" hidden="1" customWidth="1"/>
    <col min="2322" max="2323" width="10.7109375" style="3" bestFit="1" customWidth="1"/>
    <col min="2324" max="2324" width="10.28515625" style="3" bestFit="1" customWidth="1"/>
    <col min="2325" max="2325" width="11.85546875" style="3" bestFit="1" customWidth="1"/>
    <col min="2326" max="2326" width="15.42578125" style="3" customWidth="1"/>
    <col min="2327" max="2562" width="9.140625" style="3"/>
    <col min="2563" max="2563" width="7" style="3" bestFit="1" customWidth="1"/>
    <col min="2564" max="2564" width="10" style="3" customWidth="1"/>
    <col min="2565" max="2565" width="5.28515625" style="3" bestFit="1" customWidth="1"/>
    <col min="2566" max="2566" width="55" style="3" customWidth="1"/>
    <col min="2567" max="2567" width="17" style="3" bestFit="1" customWidth="1"/>
    <col min="2568" max="2568" width="19.140625" style="3" customWidth="1"/>
    <col min="2569" max="2569" width="19.42578125" style="3" customWidth="1"/>
    <col min="2570" max="2574" width="15.140625" style="3" customWidth="1"/>
    <col min="2575" max="2577" width="0" style="3" hidden="1" customWidth="1"/>
    <col min="2578" max="2579" width="10.7109375" style="3" bestFit="1" customWidth="1"/>
    <col min="2580" max="2580" width="10.28515625" style="3" bestFit="1" customWidth="1"/>
    <col min="2581" max="2581" width="11.85546875" style="3" bestFit="1" customWidth="1"/>
    <col min="2582" max="2582" width="15.42578125" style="3" customWidth="1"/>
    <col min="2583" max="2818" width="9.140625" style="3"/>
    <col min="2819" max="2819" width="7" style="3" bestFit="1" customWidth="1"/>
    <col min="2820" max="2820" width="10" style="3" customWidth="1"/>
    <col min="2821" max="2821" width="5.28515625" style="3" bestFit="1" customWidth="1"/>
    <col min="2822" max="2822" width="55" style="3" customWidth="1"/>
    <col min="2823" max="2823" width="17" style="3" bestFit="1" customWidth="1"/>
    <col min="2824" max="2824" width="19.140625" style="3" customWidth="1"/>
    <col min="2825" max="2825" width="19.42578125" style="3" customWidth="1"/>
    <col min="2826" max="2830" width="15.140625" style="3" customWidth="1"/>
    <col min="2831" max="2833" width="0" style="3" hidden="1" customWidth="1"/>
    <col min="2834" max="2835" width="10.7109375" style="3" bestFit="1" customWidth="1"/>
    <col min="2836" max="2836" width="10.28515625" style="3" bestFit="1" customWidth="1"/>
    <col min="2837" max="2837" width="11.85546875" style="3" bestFit="1" customWidth="1"/>
    <col min="2838" max="2838" width="15.42578125" style="3" customWidth="1"/>
    <col min="2839" max="3074" width="9.140625" style="3"/>
    <col min="3075" max="3075" width="7" style="3" bestFit="1" customWidth="1"/>
    <col min="3076" max="3076" width="10" style="3" customWidth="1"/>
    <col min="3077" max="3077" width="5.28515625" style="3" bestFit="1" customWidth="1"/>
    <col min="3078" max="3078" width="55" style="3" customWidth="1"/>
    <col min="3079" max="3079" width="17" style="3" bestFit="1" customWidth="1"/>
    <col min="3080" max="3080" width="19.140625" style="3" customWidth="1"/>
    <col min="3081" max="3081" width="19.42578125" style="3" customWidth="1"/>
    <col min="3082" max="3086" width="15.140625" style="3" customWidth="1"/>
    <col min="3087" max="3089" width="0" style="3" hidden="1" customWidth="1"/>
    <col min="3090" max="3091" width="10.7109375" style="3" bestFit="1" customWidth="1"/>
    <col min="3092" max="3092" width="10.28515625" style="3" bestFit="1" customWidth="1"/>
    <col min="3093" max="3093" width="11.85546875" style="3" bestFit="1" customWidth="1"/>
    <col min="3094" max="3094" width="15.42578125" style="3" customWidth="1"/>
    <col min="3095" max="3330" width="9.140625" style="3"/>
    <col min="3331" max="3331" width="7" style="3" bestFit="1" customWidth="1"/>
    <col min="3332" max="3332" width="10" style="3" customWidth="1"/>
    <col min="3333" max="3333" width="5.28515625" style="3" bestFit="1" customWidth="1"/>
    <col min="3334" max="3334" width="55" style="3" customWidth="1"/>
    <col min="3335" max="3335" width="17" style="3" bestFit="1" customWidth="1"/>
    <col min="3336" max="3336" width="19.140625" style="3" customWidth="1"/>
    <col min="3337" max="3337" width="19.42578125" style="3" customWidth="1"/>
    <col min="3338" max="3342" width="15.140625" style="3" customWidth="1"/>
    <col min="3343" max="3345" width="0" style="3" hidden="1" customWidth="1"/>
    <col min="3346" max="3347" width="10.7109375" style="3" bestFit="1" customWidth="1"/>
    <col min="3348" max="3348" width="10.28515625" style="3" bestFit="1" customWidth="1"/>
    <col min="3349" max="3349" width="11.85546875" style="3" bestFit="1" customWidth="1"/>
    <col min="3350" max="3350" width="15.42578125" style="3" customWidth="1"/>
    <col min="3351" max="3586" width="9.140625" style="3"/>
    <col min="3587" max="3587" width="7" style="3" bestFit="1" customWidth="1"/>
    <col min="3588" max="3588" width="10" style="3" customWidth="1"/>
    <col min="3589" max="3589" width="5.28515625" style="3" bestFit="1" customWidth="1"/>
    <col min="3590" max="3590" width="55" style="3" customWidth="1"/>
    <col min="3591" max="3591" width="17" style="3" bestFit="1" customWidth="1"/>
    <col min="3592" max="3592" width="19.140625" style="3" customWidth="1"/>
    <col min="3593" max="3593" width="19.42578125" style="3" customWidth="1"/>
    <col min="3594" max="3598" width="15.140625" style="3" customWidth="1"/>
    <col min="3599" max="3601" width="0" style="3" hidden="1" customWidth="1"/>
    <col min="3602" max="3603" width="10.7109375" style="3" bestFit="1" customWidth="1"/>
    <col min="3604" max="3604" width="10.28515625" style="3" bestFit="1" customWidth="1"/>
    <col min="3605" max="3605" width="11.85546875" style="3" bestFit="1" customWidth="1"/>
    <col min="3606" max="3606" width="15.42578125" style="3" customWidth="1"/>
    <col min="3607" max="3842" width="9.140625" style="3"/>
    <col min="3843" max="3843" width="7" style="3" bestFit="1" customWidth="1"/>
    <col min="3844" max="3844" width="10" style="3" customWidth="1"/>
    <col min="3845" max="3845" width="5.28515625" style="3" bestFit="1" customWidth="1"/>
    <col min="3846" max="3846" width="55" style="3" customWidth="1"/>
    <col min="3847" max="3847" width="17" style="3" bestFit="1" customWidth="1"/>
    <col min="3848" max="3848" width="19.140625" style="3" customWidth="1"/>
    <col min="3849" max="3849" width="19.42578125" style="3" customWidth="1"/>
    <col min="3850" max="3854" width="15.140625" style="3" customWidth="1"/>
    <col min="3855" max="3857" width="0" style="3" hidden="1" customWidth="1"/>
    <col min="3858" max="3859" width="10.7109375" style="3" bestFit="1" customWidth="1"/>
    <col min="3860" max="3860" width="10.28515625" style="3" bestFit="1" customWidth="1"/>
    <col min="3861" max="3861" width="11.85546875" style="3" bestFit="1" customWidth="1"/>
    <col min="3862" max="3862" width="15.42578125" style="3" customWidth="1"/>
    <col min="3863" max="4098" width="9.140625" style="3"/>
    <col min="4099" max="4099" width="7" style="3" bestFit="1" customWidth="1"/>
    <col min="4100" max="4100" width="10" style="3" customWidth="1"/>
    <col min="4101" max="4101" width="5.28515625" style="3" bestFit="1" customWidth="1"/>
    <col min="4102" max="4102" width="55" style="3" customWidth="1"/>
    <col min="4103" max="4103" width="17" style="3" bestFit="1" customWidth="1"/>
    <col min="4104" max="4104" width="19.140625" style="3" customWidth="1"/>
    <col min="4105" max="4105" width="19.42578125" style="3" customWidth="1"/>
    <col min="4106" max="4110" width="15.140625" style="3" customWidth="1"/>
    <col min="4111" max="4113" width="0" style="3" hidden="1" customWidth="1"/>
    <col min="4114" max="4115" width="10.7109375" style="3" bestFit="1" customWidth="1"/>
    <col min="4116" max="4116" width="10.28515625" style="3" bestFit="1" customWidth="1"/>
    <col min="4117" max="4117" width="11.85546875" style="3" bestFit="1" customWidth="1"/>
    <col min="4118" max="4118" width="15.42578125" style="3" customWidth="1"/>
    <col min="4119" max="4354" width="9.140625" style="3"/>
    <col min="4355" max="4355" width="7" style="3" bestFit="1" customWidth="1"/>
    <col min="4356" max="4356" width="10" style="3" customWidth="1"/>
    <col min="4357" max="4357" width="5.28515625" style="3" bestFit="1" customWidth="1"/>
    <col min="4358" max="4358" width="55" style="3" customWidth="1"/>
    <col min="4359" max="4359" width="17" style="3" bestFit="1" customWidth="1"/>
    <col min="4360" max="4360" width="19.140625" style="3" customWidth="1"/>
    <col min="4361" max="4361" width="19.42578125" style="3" customWidth="1"/>
    <col min="4362" max="4366" width="15.140625" style="3" customWidth="1"/>
    <col min="4367" max="4369" width="0" style="3" hidden="1" customWidth="1"/>
    <col min="4370" max="4371" width="10.7109375" style="3" bestFit="1" customWidth="1"/>
    <col min="4372" max="4372" width="10.28515625" style="3" bestFit="1" customWidth="1"/>
    <col min="4373" max="4373" width="11.85546875" style="3" bestFit="1" customWidth="1"/>
    <col min="4374" max="4374" width="15.42578125" style="3" customWidth="1"/>
    <col min="4375" max="4610" width="9.140625" style="3"/>
    <col min="4611" max="4611" width="7" style="3" bestFit="1" customWidth="1"/>
    <col min="4612" max="4612" width="10" style="3" customWidth="1"/>
    <col min="4613" max="4613" width="5.28515625" style="3" bestFit="1" customWidth="1"/>
    <col min="4614" max="4614" width="55" style="3" customWidth="1"/>
    <col min="4615" max="4615" width="17" style="3" bestFit="1" customWidth="1"/>
    <col min="4616" max="4616" width="19.140625" style="3" customWidth="1"/>
    <col min="4617" max="4617" width="19.42578125" style="3" customWidth="1"/>
    <col min="4618" max="4622" width="15.140625" style="3" customWidth="1"/>
    <col min="4623" max="4625" width="0" style="3" hidden="1" customWidth="1"/>
    <col min="4626" max="4627" width="10.7109375" style="3" bestFit="1" customWidth="1"/>
    <col min="4628" max="4628" width="10.28515625" style="3" bestFit="1" customWidth="1"/>
    <col min="4629" max="4629" width="11.85546875" style="3" bestFit="1" customWidth="1"/>
    <col min="4630" max="4630" width="15.42578125" style="3" customWidth="1"/>
    <col min="4631" max="4866" width="9.140625" style="3"/>
    <col min="4867" max="4867" width="7" style="3" bestFit="1" customWidth="1"/>
    <col min="4868" max="4868" width="10" style="3" customWidth="1"/>
    <col min="4869" max="4869" width="5.28515625" style="3" bestFit="1" customWidth="1"/>
    <col min="4870" max="4870" width="55" style="3" customWidth="1"/>
    <col min="4871" max="4871" width="17" style="3" bestFit="1" customWidth="1"/>
    <col min="4872" max="4872" width="19.140625" style="3" customWidth="1"/>
    <col min="4873" max="4873" width="19.42578125" style="3" customWidth="1"/>
    <col min="4874" max="4878" width="15.140625" style="3" customWidth="1"/>
    <col min="4879" max="4881" width="0" style="3" hidden="1" customWidth="1"/>
    <col min="4882" max="4883" width="10.7109375" style="3" bestFit="1" customWidth="1"/>
    <col min="4884" max="4884" width="10.28515625" style="3" bestFit="1" customWidth="1"/>
    <col min="4885" max="4885" width="11.85546875" style="3" bestFit="1" customWidth="1"/>
    <col min="4886" max="4886" width="15.42578125" style="3" customWidth="1"/>
    <col min="4887" max="5122" width="9.140625" style="3"/>
    <col min="5123" max="5123" width="7" style="3" bestFit="1" customWidth="1"/>
    <col min="5124" max="5124" width="10" style="3" customWidth="1"/>
    <col min="5125" max="5125" width="5.28515625" style="3" bestFit="1" customWidth="1"/>
    <col min="5126" max="5126" width="55" style="3" customWidth="1"/>
    <col min="5127" max="5127" width="17" style="3" bestFit="1" customWidth="1"/>
    <col min="5128" max="5128" width="19.140625" style="3" customWidth="1"/>
    <col min="5129" max="5129" width="19.42578125" style="3" customWidth="1"/>
    <col min="5130" max="5134" width="15.140625" style="3" customWidth="1"/>
    <col min="5135" max="5137" width="0" style="3" hidden="1" customWidth="1"/>
    <col min="5138" max="5139" width="10.7109375" style="3" bestFit="1" customWidth="1"/>
    <col min="5140" max="5140" width="10.28515625" style="3" bestFit="1" customWidth="1"/>
    <col min="5141" max="5141" width="11.85546875" style="3" bestFit="1" customWidth="1"/>
    <col min="5142" max="5142" width="15.42578125" style="3" customWidth="1"/>
    <col min="5143" max="5378" width="9.140625" style="3"/>
    <col min="5379" max="5379" width="7" style="3" bestFit="1" customWidth="1"/>
    <col min="5380" max="5380" width="10" style="3" customWidth="1"/>
    <col min="5381" max="5381" width="5.28515625" style="3" bestFit="1" customWidth="1"/>
    <col min="5382" max="5382" width="55" style="3" customWidth="1"/>
    <col min="5383" max="5383" width="17" style="3" bestFit="1" customWidth="1"/>
    <col min="5384" max="5384" width="19.140625" style="3" customWidth="1"/>
    <col min="5385" max="5385" width="19.42578125" style="3" customWidth="1"/>
    <col min="5386" max="5390" width="15.140625" style="3" customWidth="1"/>
    <col min="5391" max="5393" width="0" style="3" hidden="1" customWidth="1"/>
    <col min="5394" max="5395" width="10.7109375" style="3" bestFit="1" customWidth="1"/>
    <col min="5396" max="5396" width="10.28515625" style="3" bestFit="1" customWidth="1"/>
    <col min="5397" max="5397" width="11.85546875" style="3" bestFit="1" customWidth="1"/>
    <col min="5398" max="5398" width="15.42578125" style="3" customWidth="1"/>
    <col min="5399" max="5634" width="9.140625" style="3"/>
    <col min="5635" max="5635" width="7" style="3" bestFit="1" customWidth="1"/>
    <col min="5636" max="5636" width="10" style="3" customWidth="1"/>
    <col min="5637" max="5637" width="5.28515625" style="3" bestFit="1" customWidth="1"/>
    <col min="5638" max="5638" width="55" style="3" customWidth="1"/>
    <col min="5639" max="5639" width="17" style="3" bestFit="1" customWidth="1"/>
    <col min="5640" max="5640" width="19.140625" style="3" customWidth="1"/>
    <col min="5641" max="5641" width="19.42578125" style="3" customWidth="1"/>
    <col min="5642" max="5646" width="15.140625" style="3" customWidth="1"/>
    <col min="5647" max="5649" width="0" style="3" hidden="1" customWidth="1"/>
    <col min="5650" max="5651" width="10.7109375" style="3" bestFit="1" customWidth="1"/>
    <col min="5652" max="5652" width="10.28515625" style="3" bestFit="1" customWidth="1"/>
    <col min="5653" max="5653" width="11.85546875" style="3" bestFit="1" customWidth="1"/>
    <col min="5654" max="5654" width="15.42578125" style="3" customWidth="1"/>
    <col min="5655" max="5890" width="9.140625" style="3"/>
    <col min="5891" max="5891" width="7" style="3" bestFit="1" customWidth="1"/>
    <col min="5892" max="5892" width="10" style="3" customWidth="1"/>
    <col min="5893" max="5893" width="5.28515625" style="3" bestFit="1" customWidth="1"/>
    <col min="5894" max="5894" width="55" style="3" customWidth="1"/>
    <col min="5895" max="5895" width="17" style="3" bestFit="1" customWidth="1"/>
    <col min="5896" max="5896" width="19.140625" style="3" customWidth="1"/>
    <col min="5897" max="5897" width="19.42578125" style="3" customWidth="1"/>
    <col min="5898" max="5902" width="15.140625" style="3" customWidth="1"/>
    <col min="5903" max="5905" width="0" style="3" hidden="1" customWidth="1"/>
    <col min="5906" max="5907" width="10.7109375" style="3" bestFit="1" customWidth="1"/>
    <col min="5908" max="5908" width="10.28515625" style="3" bestFit="1" customWidth="1"/>
    <col min="5909" max="5909" width="11.85546875" style="3" bestFit="1" customWidth="1"/>
    <col min="5910" max="5910" width="15.42578125" style="3" customWidth="1"/>
    <col min="5911" max="6146" width="9.140625" style="3"/>
    <col min="6147" max="6147" width="7" style="3" bestFit="1" customWidth="1"/>
    <col min="6148" max="6148" width="10" style="3" customWidth="1"/>
    <col min="6149" max="6149" width="5.28515625" style="3" bestFit="1" customWidth="1"/>
    <col min="6150" max="6150" width="55" style="3" customWidth="1"/>
    <col min="6151" max="6151" width="17" style="3" bestFit="1" customWidth="1"/>
    <col min="6152" max="6152" width="19.140625" style="3" customWidth="1"/>
    <col min="6153" max="6153" width="19.42578125" style="3" customWidth="1"/>
    <col min="6154" max="6158" width="15.140625" style="3" customWidth="1"/>
    <col min="6159" max="6161" width="0" style="3" hidden="1" customWidth="1"/>
    <col min="6162" max="6163" width="10.7109375" style="3" bestFit="1" customWidth="1"/>
    <col min="6164" max="6164" width="10.28515625" style="3" bestFit="1" customWidth="1"/>
    <col min="6165" max="6165" width="11.85546875" style="3" bestFit="1" customWidth="1"/>
    <col min="6166" max="6166" width="15.42578125" style="3" customWidth="1"/>
    <col min="6167" max="6402" width="9.140625" style="3"/>
    <col min="6403" max="6403" width="7" style="3" bestFit="1" customWidth="1"/>
    <col min="6404" max="6404" width="10" style="3" customWidth="1"/>
    <col min="6405" max="6405" width="5.28515625" style="3" bestFit="1" customWidth="1"/>
    <col min="6406" max="6406" width="55" style="3" customWidth="1"/>
    <col min="6407" max="6407" width="17" style="3" bestFit="1" customWidth="1"/>
    <col min="6408" max="6408" width="19.140625" style="3" customWidth="1"/>
    <col min="6409" max="6409" width="19.42578125" style="3" customWidth="1"/>
    <col min="6410" max="6414" width="15.140625" style="3" customWidth="1"/>
    <col min="6415" max="6417" width="0" style="3" hidden="1" customWidth="1"/>
    <col min="6418" max="6419" width="10.7109375" style="3" bestFit="1" customWidth="1"/>
    <col min="6420" max="6420" width="10.28515625" style="3" bestFit="1" customWidth="1"/>
    <col min="6421" max="6421" width="11.85546875" style="3" bestFit="1" customWidth="1"/>
    <col min="6422" max="6422" width="15.42578125" style="3" customWidth="1"/>
    <col min="6423" max="6658" width="9.140625" style="3"/>
    <col min="6659" max="6659" width="7" style="3" bestFit="1" customWidth="1"/>
    <col min="6660" max="6660" width="10" style="3" customWidth="1"/>
    <col min="6661" max="6661" width="5.28515625" style="3" bestFit="1" customWidth="1"/>
    <col min="6662" max="6662" width="55" style="3" customWidth="1"/>
    <col min="6663" max="6663" width="17" style="3" bestFit="1" customWidth="1"/>
    <col min="6664" max="6664" width="19.140625" style="3" customWidth="1"/>
    <col min="6665" max="6665" width="19.42578125" style="3" customWidth="1"/>
    <col min="6666" max="6670" width="15.140625" style="3" customWidth="1"/>
    <col min="6671" max="6673" width="0" style="3" hidden="1" customWidth="1"/>
    <col min="6674" max="6675" width="10.7109375" style="3" bestFit="1" customWidth="1"/>
    <col min="6676" max="6676" width="10.28515625" style="3" bestFit="1" customWidth="1"/>
    <col min="6677" max="6677" width="11.85546875" style="3" bestFit="1" customWidth="1"/>
    <col min="6678" max="6678" width="15.42578125" style="3" customWidth="1"/>
    <col min="6679" max="6914" width="9.140625" style="3"/>
    <col min="6915" max="6915" width="7" style="3" bestFit="1" customWidth="1"/>
    <col min="6916" max="6916" width="10" style="3" customWidth="1"/>
    <col min="6917" max="6917" width="5.28515625" style="3" bestFit="1" customWidth="1"/>
    <col min="6918" max="6918" width="55" style="3" customWidth="1"/>
    <col min="6919" max="6919" width="17" style="3" bestFit="1" customWidth="1"/>
    <col min="6920" max="6920" width="19.140625" style="3" customWidth="1"/>
    <col min="6921" max="6921" width="19.42578125" style="3" customWidth="1"/>
    <col min="6922" max="6926" width="15.140625" style="3" customWidth="1"/>
    <col min="6927" max="6929" width="0" style="3" hidden="1" customWidth="1"/>
    <col min="6930" max="6931" width="10.7109375" style="3" bestFit="1" customWidth="1"/>
    <col min="6932" max="6932" width="10.28515625" style="3" bestFit="1" customWidth="1"/>
    <col min="6933" max="6933" width="11.85546875" style="3" bestFit="1" customWidth="1"/>
    <col min="6934" max="6934" width="15.42578125" style="3" customWidth="1"/>
    <col min="6935" max="7170" width="9.140625" style="3"/>
    <col min="7171" max="7171" width="7" style="3" bestFit="1" customWidth="1"/>
    <col min="7172" max="7172" width="10" style="3" customWidth="1"/>
    <col min="7173" max="7173" width="5.28515625" style="3" bestFit="1" customWidth="1"/>
    <col min="7174" max="7174" width="55" style="3" customWidth="1"/>
    <col min="7175" max="7175" width="17" style="3" bestFit="1" customWidth="1"/>
    <col min="7176" max="7176" width="19.140625" style="3" customWidth="1"/>
    <col min="7177" max="7177" width="19.42578125" style="3" customWidth="1"/>
    <col min="7178" max="7182" width="15.140625" style="3" customWidth="1"/>
    <col min="7183" max="7185" width="0" style="3" hidden="1" customWidth="1"/>
    <col min="7186" max="7187" width="10.7109375" style="3" bestFit="1" customWidth="1"/>
    <col min="7188" max="7188" width="10.28515625" style="3" bestFit="1" customWidth="1"/>
    <col min="7189" max="7189" width="11.85546875" style="3" bestFit="1" customWidth="1"/>
    <col min="7190" max="7190" width="15.42578125" style="3" customWidth="1"/>
    <col min="7191" max="7426" width="9.140625" style="3"/>
    <col min="7427" max="7427" width="7" style="3" bestFit="1" customWidth="1"/>
    <col min="7428" max="7428" width="10" style="3" customWidth="1"/>
    <col min="7429" max="7429" width="5.28515625" style="3" bestFit="1" customWidth="1"/>
    <col min="7430" max="7430" width="55" style="3" customWidth="1"/>
    <col min="7431" max="7431" width="17" style="3" bestFit="1" customWidth="1"/>
    <col min="7432" max="7432" width="19.140625" style="3" customWidth="1"/>
    <col min="7433" max="7433" width="19.42578125" style="3" customWidth="1"/>
    <col min="7434" max="7438" width="15.140625" style="3" customWidth="1"/>
    <col min="7439" max="7441" width="0" style="3" hidden="1" customWidth="1"/>
    <col min="7442" max="7443" width="10.7109375" style="3" bestFit="1" customWidth="1"/>
    <col min="7444" max="7444" width="10.28515625" style="3" bestFit="1" customWidth="1"/>
    <col min="7445" max="7445" width="11.85546875" style="3" bestFit="1" customWidth="1"/>
    <col min="7446" max="7446" width="15.42578125" style="3" customWidth="1"/>
    <col min="7447" max="7682" width="9.140625" style="3"/>
    <col min="7683" max="7683" width="7" style="3" bestFit="1" customWidth="1"/>
    <col min="7684" max="7684" width="10" style="3" customWidth="1"/>
    <col min="7685" max="7685" width="5.28515625" style="3" bestFit="1" customWidth="1"/>
    <col min="7686" max="7686" width="55" style="3" customWidth="1"/>
    <col min="7687" max="7687" width="17" style="3" bestFit="1" customWidth="1"/>
    <col min="7688" max="7688" width="19.140625" style="3" customWidth="1"/>
    <col min="7689" max="7689" width="19.42578125" style="3" customWidth="1"/>
    <col min="7690" max="7694" width="15.140625" style="3" customWidth="1"/>
    <col min="7695" max="7697" width="0" style="3" hidden="1" customWidth="1"/>
    <col min="7698" max="7699" width="10.7109375" style="3" bestFit="1" customWidth="1"/>
    <col min="7700" max="7700" width="10.28515625" style="3" bestFit="1" customWidth="1"/>
    <col min="7701" max="7701" width="11.85546875" style="3" bestFit="1" customWidth="1"/>
    <col min="7702" max="7702" width="15.42578125" style="3" customWidth="1"/>
    <col min="7703" max="7938" width="9.140625" style="3"/>
    <col min="7939" max="7939" width="7" style="3" bestFit="1" customWidth="1"/>
    <col min="7940" max="7940" width="10" style="3" customWidth="1"/>
    <col min="7941" max="7941" width="5.28515625" style="3" bestFit="1" customWidth="1"/>
    <col min="7942" max="7942" width="55" style="3" customWidth="1"/>
    <col min="7943" max="7943" width="17" style="3" bestFit="1" customWidth="1"/>
    <col min="7944" max="7944" width="19.140625" style="3" customWidth="1"/>
    <col min="7945" max="7945" width="19.42578125" style="3" customWidth="1"/>
    <col min="7946" max="7950" width="15.140625" style="3" customWidth="1"/>
    <col min="7951" max="7953" width="0" style="3" hidden="1" customWidth="1"/>
    <col min="7954" max="7955" width="10.7109375" style="3" bestFit="1" customWidth="1"/>
    <col min="7956" max="7956" width="10.28515625" style="3" bestFit="1" customWidth="1"/>
    <col min="7957" max="7957" width="11.85546875" style="3" bestFit="1" customWidth="1"/>
    <col min="7958" max="7958" width="15.42578125" style="3" customWidth="1"/>
    <col min="7959" max="8194" width="9.140625" style="3"/>
    <col min="8195" max="8195" width="7" style="3" bestFit="1" customWidth="1"/>
    <col min="8196" max="8196" width="10" style="3" customWidth="1"/>
    <col min="8197" max="8197" width="5.28515625" style="3" bestFit="1" customWidth="1"/>
    <col min="8198" max="8198" width="55" style="3" customWidth="1"/>
    <col min="8199" max="8199" width="17" style="3" bestFit="1" customWidth="1"/>
    <col min="8200" max="8200" width="19.140625" style="3" customWidth="1"/>
    <col min="8201" max="8201" width="19.42578125" style="3" customWidth="1"/>
    <col min="8202" max="8206" width="15.140625" style="3" customWidth="1"/>
    <col min="8207" max="8209" width="0" style="3" hidden="1" customWidth="1"/>
    <col min="8210" max="8211" width="10.7109375" style="3" bestFit="1" customWidth="1"/>
    <col min="8212" max="8212" width="10.28515625" style="3" bestFit="1" customWidth="1"/>
    <col min="8213" max="8213" width="11.85546875" style="3" bestFit="1" customWidth="1"/>
    <col min="8214" max="8214" width="15.42578125" style="3" customWidth="1"/>
    <col min="8215" max="8450" width="9.140625" style="3"/>
    <col min="8451" max="8451" width="7" style="3" bestFit="1" customWidth="1"/>
    <col min="8452" max="8452" width="10" style="3" customWidth="1"/>
    <col min="8453" max="8453" width="5.28515625" style="3" bestFit="1" customWidth="1"/>
    <col min="8454" max="8454" width="55" style="3" customWidth="1"/>
    <col min="8455" max="8455" width="17" style="3" bestFit="1" customWidth="1"/>
    <col min="8456" max="8456" width="19.140625" style="3" customWidth="1"/>
    <col min="8457" max="8457" width="19.42578125" style="3" customWidth="1"/>
    <col min="8458" max="8462" width="15.140625" style="3" customWidth="1"/>
    <col min="8463" max="8465" width="0" style="3" hidden="1" customWidth="1"/>
    <col min="8466" max="8467" width="10.7109375" style="3" bestFit="1" customWidth="1"/>
    <col min="8468" max="8468" width="10.28515625" style="3" bestFit="1" customWidth="1"/>
    <col min="8469" max="8469" width="11.85546875" style="3" bestFit="1" customWidth="1"/>
    <col min="8470" max="8470" width="15.42578125" style="3" customWidth="1"/>
    <col min="8471" max="8706" width="9.140625" style="3"/>
    <col min="8707" max="8707" width="7" style="3" bestFit="1" customWidth="1"/>
    <col min="8708" max="8708" width="10" style="3" customWidth="1"/>
    <col min="8709" max="8709" width="5.28515625" style="3" bestFit="1" customWidth="1"/>
    <col min="8710" max="8710" width="55" style="3" customWidth="1"/>
    <col min="8711" max="8711" width="17" style="3" bestFit="1" customWidth="1"/>
    <col min="8712" max="8712" width="19.140625" style="3" customWidth="1"/>
    <col min="8713" max="8713" width="19.42578125" style="3" customWidth="1"/>
    <col min="8714" max="8718" width="15.140625" style="3" customWidth="1"/>
    <col min="8719" max="8721" width="0" style="3" hidden="1" customWidth="1"/>
    <col min="8722" max="8723" width="10.7109375" style="3" bestFit="1" customWidth="1"/>
    <col min="8724" max="8724" width="10.28515625" style="3" bestFit="1" customWidth="1"/>
    <col min="8725" max="8725" width="11.85546875" style="3" bestFit="1" customWidth="1"/>
    <col min="8726" max="8726" width="15.42578125" style="3" customWidth="1"/>
    <col min="8727" max="8962" width="9.140625" style="3"/>
    <col min="8963" max="8963" width="7" style="3" bestFit="1" customWidth="1"/>
    <col min="8964" max="8964" width="10" style="3" customWidth="1"/>
    <col min="8965" max="8965" width="5.28515625" style="3" bestFit="1" customWidth="1"/>
    <col min="8966" max="8966" width="55" style="3" customWidth="1"/>
    <col min="8967" max="8967" width="17" style="3" bestFit="1" customWidth="1"/>
    <col min="8968" max="8968" width="19.140625" style="3" customWidth="1"/>
    <col min="8969" max="8969" width="19.42578125" style="3" customWidth="1"/>
    <col min="8970" max="8974" width="15.140625" style="3" customWidth="1"/>
    <col min="8975" max="8977" width="0" style="3" hidden="1" customWidth="1"/>
    <col min="8978" max="8979" width="10.7109375" style="3" bestFit="1" customWidth="1"/>
    <col min="8980" max="8980" width="10.28515625" style="3" bestFit="1" customWidth="1"/>
    <col min="8981" max="8981" width="11.85546875" style="3" bestFit="1" customWidth="1"/>
    <col min="8982" max="8982" width="15.42578125" style="3" customWidth="1"/>
    <col min="8983" max="9218" width="9.140625" style="3"/>
    <col min="9219" max="9219" width="7" style="3" bestFit="1" customWidth="1"/>
    <col min="9220" max="9220" width="10" style="3" customWidth="1"/>
    <col min="9221" max="9221" width="5.28515625" style="3" bestFit="1" customWidth="1"/>
    <col min="9222" max="9222" width="55" style="3" customWidth="1"/>
    <col min="9223" max="9223" width="17" style="3" bestFit="1" customWidth="1"/>
    <col min="9224" max="9224" width="19.140625" style="3" customWidth="1"/>
    <col min="9225" max="9225" width="19.42578125" style="3" customWidth="1"/>
    <col min="9226" max="9230" width="15.140625" style="3" customWidth="1"/>
    <col min="9231" max="9233" width="0" style="3" hidden="1" customWidth="1"/>
    <col min="9234" max="9235" width="10.7109375" style="3" bestFit="1" customWidth="1"/>
    <col min="9236" max="9236" width="10.28515625" style="3" bestFit="1" customWidth="1"/>
    <col min="9237" max="9237" width="11.85546875" style="3" bestFit="1" customWidth="1"/>
    <col min="9238" max="9238" width="15.42578125" style="3" customWidth="1"/>
    <col min="9239" max="9474" width="9.140625" style="3"/>
    <col min="9475" max="9475" width="7" style="3" bestFit="1" customWidth="1"/>
    <col min="9476" max="9476" width="10" style="3" customWidth="1"/>
    <col min="9477" max="9477" width="5.28515625" style="3" bestFit="1" customWidth="1"/>
    <col min="9478" max="9478" width="55" style="3" customWidth="1"/>
    <col min="9479" max="9479" width="17" style="3" bestFit="1" customWidth="1"/>
    <col min="9480" max="9480" width="19.140625" style="3" customWidth="1"/>
    <col min="9481" max="9481" width="19.42578125" style="3" customWidth="1"/>
    <col min="9482" max="9486" width="15.140625" style="3" customWidth="1"/>
    <col min="9487" max="9489" width="0" style="3" hidden="1" customWidth="1"/>
    <col min="9490" max="9491" width="10.7109375" style="3" bestFit="1" customWidth="1"/>
    <col min="9492" max="9492" width="10.28515625" style="3" bestFit="1" customWidth="1"/>
    <col min="9493" max="9493" width="11.85546875" style="3" bestFit="1" customWidth="1"/>
    <col min="9494" max="9494" width="15.42578125" style="3" customWidth="1"/>
    <col min="9495" max="9730" width="9.140625" style="3"/>
    <col min="9731" max="9731" width="7" style="3" bestFit="1" customWidth="1"/>
    <col min="9732" max="9732" width="10" style="3" customWidth="1"/>
    <col min="9733" max="9733" width="5.28515625" style="3" bestFit="1" customWidth="1"/>
    <col min="9734" max="9734" width="55" style="3" customWidth="1"/>
    <col min="9735" max="9735" width="17" style="3" bestFit="1" customWidth="1"/>
    <col min="9736" max="9736" width="19.140625" style="3" customWidth="1"/>
    <col min="9737" max="9737" width="19.42578125" style="3" customWidth="1"/>
    <col min="9738" max="9742" width="15.140625" style="3" customWidth="1"/>
    <col min="9743" max="9745" width="0" style="3" hidden="1" customWidth="1"/>
    <col min="9746" max="9747" width="10.7109375" style="3" bestFit="1" customWidth="1"/>
    <col min="9748" max="9748" width="10.28515625" style="3" bestFit="1" customWidth="1"/>
    <col min="9749" max="9749" width="11.85546875" style="3" bestFit="1" customWidth="1"/>
    <col min="9750" max="9750" width="15.42578125" style="3" customWidth="1"/>
    <col min="9751" max="9986" width="9.140625" style="3"/>
    <col min="9987" max="9987" width="7" style="3" bestFit="1" customWidth="1"/>
    <col min="9988" max="9988" width="10" style="3" customWidth="1"/>
    <col min="9989" max="9989" width="5.28515625" style="3" bestFit="1" customWidth="1"/>
    <col min="9990" max="9990" width="55" style="3" customWidth="1"/>
    <col min="9991" max="9991" width="17" style="3" bestFit="1" customWidth="1"/>
    <col min="9992" max="9992" width="19.140625" style="3" customWidth="1"/>
    <col min="9993" max="9993" width="19.42578125" style="3" customWidth="1"/>
    <col min="9994" max="9998" width="15.140625" style="3" customWidth="1"/>
    <col min="9999" max="10001" width="0" style="3" hidden="1" customWidth="1"/>
    <col min="10002" max="10003" width="10.7109375" style="3" bestFit="1" customWidth="1"/>
    <col min="10004" max="10004" width="10.28515625" style="3" bestFit="1" customWidth="1"/>
    <col min="10005" max="10005" width="11.85546875" style="3" bestFit="1" customWidth="1"/>
    <col min="10006" max="10006" width="15.42578125" style="3" customWidth="1"/>
    <col min="10007" max="10242" width="9.140625" style="3"/>
    <col min="10243" max="10243" width="7" style="3" bestFit="1" customWidth="1"/>
    <col min="10244" max="10244" width="10" style="3" customWidth="1"/>
    <col min="10245" max="10245" width="5.28515625" style="3" bestFit="1" customWidth="1"/>
    <col min="10246" max="10246" width="55" style="3" customWidth="1"/>
    <col min="10247" max="10247" width="17" style="3" bestFit="1" customWidth="1"/>
    <col min="10248" max="10248" width="19.140625" style="3" customWidth="1"/>
    <col min="10249" max="10249" width="19.42578125" style="3" customWidth="1"/>
    <col min="10250" max="10254" width="15.140625" style="3" customWidth="1"/>
    <col min="10255" max="10257" width="0" style="3" hidden="1" customWidth="1"/>
    <col min="10258" max="10259" width="10.7109375" style="3" bestFit="1" customWidth="1"/>
    <col min="10260" max="10260" width="10.28515625" style="3" bestFit="1" customWidth="1"/>
    <col min="10261" max="10261" width="11.85546875" style="3" bestFit="1" customWidth="1"/>
    <col min="10262" max="10262" width="15.42578125" style="3" customWidth="1"/>
    <col min="10263" max="10498" width="9.140625" style="3"/>
    <col min="10499" max="10499" width="7" style="3" bestFit="1" customWidth="1"/>
    <col min="10500" max="10500" width="10" style="3" customWidth="1"/>
    <col min="10501" max="10501" width="5.28515625" style="3" bestFit="1" customWidth="1"/>
    <col min="10502" max="10502" width="55" style="3" customWidth="1"/>
    <col min="10503" max="10503" width="17" style="3" bestFit="1" customWidth="1"/>
    <col min="10504" max="10504" width="19.140625" style="3" customWidth="1"/>
    <col min="10505" max="10505" width="19.42578125" style="3" customWidth="1"/>
    <col min="10506" max="10510" width="15.140625" style="3" customWidth="1"/>
    <col min="10511" max="10513" width="0" style="3" hidden="1" customWidth="1"/>
    <col min="10514" max="10515" width="10.7109375" style="3" bestFit="1" customWidth="1"/>
    <col min="10516" max="10516" width="10.28515625" style="3" bestFit="1" customWidth="1"/>
    <col min="10517" max="10517" width="11.85546875" style="3" bestFit="1" customWidth="1"/>
    <col min="10518" max="10518" width="15.42578125" style="3" customWidth="1"/>
    <col min="10519" max="10754" width="9.140625" style="3"/>
    <col min="10755" max="10755" width="7" style="3" bestFit="1" customWidth="1"/>
    <col min="10756" max="10756" width="10" style="3" customWidth="1"/>
    <col min="10757" max="10757" width="5.28515625" style="3" bestFit="1" customWidth="1"/>
    <col min="10758" max="10758" width="55" style="3" customWidth="1"/>
    <col min="10759" max="10759" width="17" style="3" bestFit="1" customWidth="1"/>
    <col min="10760" max="10760" width="19.140625" style="3" customWidth="1"/>
    <col min="10761" max="10761" width="19.42578125" style="3" customWidth="1"/>
    <col min="10762" max="10766" width="15.140625" style="3" customWidth="1"/>
    <col min="10767" max="10769" width="0" style="3" hidden="1" customWidth="1"/>
    <col min="10770" max="10771" width="10.7109375" style="3" bestFit="1" customWidth="1"/>
    <col min="10772" max="10772" width="10.28515625" style="3" bestFit="1" customWidth="1"/>
    <col min="10773" max="10773" width="11.85546875" style="3" bestFit="1" customWidth="1"/>
    <col min="10774" max="10774" width="15.42578125" style="3" customWidth="1"/>
    <col min="10775" max="11010" width="9.140625" style="3"/>
    <col min="11011" max="11011" width="7" style="3" bestFit="1" customWidth="1"/>
    <col min="11012" max="11012" width="10" style="3" customWidth="1"/>
    <col min="11013" max="11013" width="5.28515625" style="3" bestFit="1" customWidth="1"/>
    <col min="11014" max="11014" width="55" style="3" customWidth="1"/>
    <col min="11015" max="11015" width="17" style="3" bestFit="1" customWidth="1"/>
    <col min="11016" max="11016" width="19.140625" style="3" customWidth="1"/>
    <col min="11017" max="11017" width="19.42578125" style="3" customWidth="1"/>
    <col min="11018" max="11022" width="15.140625" style="3" customWidth="1"/>
    <col min="11023" max="11025" width="0" style="3" hidden="1" customWidth="1"/>
    <col min="11026" max="11027" width="10.7109375" style="3" bestFit="1" customWidth="1"/>
    <col min="11028" max="11028" width="10.28515625" style="3" bestFit="1" customWidth="1"/>
    <col min="11029" max="11029" width="11.85546875" style="3" bestFit="1" customWidth="1"/>
    <col min="11030" max="11030" width="15.42578125" style="3" customWidth="1"/>
    <col min="11031" max="11266" width="9.140625" style="3"/>
    <col min="11267" max="11267" width="7" style="3" bestFit="1" customWidth="1"/>
    <col min="11268" max="11268" width="10" style="3" customWidth="1"/>
    <col min="11269" max="11269" width="5.28515625" style="3" bestFit="1" customWidth="1"/>
    <col min="11270" max="11270" width="55" style="3" customWidth="1"/>
    <col min="11271" max="11271" width="17" style="3" bestFit="1" customWidth="1"/>
    <col min="11272" max="11272" width="19.140625" style="3" customWidth="1"/>
    <col min="11273" max="11273" width="19.42578125" style="3" customWidth="1"/>
    <col min="11274" max="11278" width="15.140625" style="3" customWidth="1"/>
    <col min="11279" max="11281" width="0" style="3" hidden="1" customWidth="1"/>
    <col min="11282" max="11283" width="10.7109375" style="3" bestFit="1" customWidth="1"/>
    <col min="11284" max="11284" width="10.28515625" style="3" bestFit="1" customWidth="1"/>
    <col min="11285" max="11285" width="11.85546875" style="3" bestFit="1" customWidth="1"/>
    <col min="11286" max="11286" width="15.42578125" style="3" customWidth="1"/>
    <col min="11287" max="11522" width="9.140625" style="3"/>
    <col min="11523" max="11523" width="7" style="3" bestFit="1" customWidth="1"/>
    <col min="11524" max="11524" width="10" style="3" customWidth="1"/>
    <col min="11525" max="11525" width="5.28515625" style="3" bestFit="1" customWidth="1"/>
    <col min="11526" max="11526" width="55" style="3" customWidth="1"/>
    <col min="11527" max="11527" width="17" style="3" bestFit="1" customWidth="1"/>
    <col min="11528" max="11528" width="19.140625" style="3" customWidth="1"/>
    <col min="11529" max="11529" width="19.42578125" style="3" customWidth="1"/>
    <col min="11530" max="11534" width="15.140625" style="3" customWidth="1"/>
    <col min="11535" max="11537" width="0" style="3" hidden="1" customWidth="1"/>
    <col min="11538" max="11539" width="10.7109375" style="3" bestFit="1" customWidth="1"/>
    <col min="11540" max="11540" width="10.28515625" style="3" bestFit="1" customWidth="1"/>
    <col min="11541" max="11541" width="11.85546875" style="3" bestFit="1" customWidth="1"/>
    <col min="11542" max="11542" width="15.42578125" style="3" customWidth="1"/>
    <col min="11543" max="11778" width="9.140625" style="3"/>
    <col min="11779" max="11779" width="7" style="3" bestFit="1" customWidth="1"/>
    <col min="11780" max="11780" width="10" style="3" customWidth="1"/>
    <col min="11781" max="11781" width="5.28515625" style="3" bestFit="1" customWidth="1"/>
    <col min="11782" max="11782" width="55" style="3" customWidth="1"/>
    <col min="11783" max="11783" width="17" style="3" bestFit="1" customWidth="1"/>
    <col min="11784" max="11784" width="19.140625" style="3" customWidth="1"/>
    <col min="11785" max="11785" width="19.42578125" style="3" customWidth="1"/>
    <col min="11786" max="11790" width="15.140625" style="3" customWidth="1"/>
    <col min="11791" max="11793" width="0" style="3" hidden="1" customWidth="1"/>
    <col min="11794" max="11795" width="10.7109375" style="3" bestFit="1" customWidth="1"/>
    <col min="11796" max="11796" width="10.28515625" style="3" bestFit="1" customWidth="1"/>
    <col min="11797" max="11797" width="11.85546875" style="3" bestFit="1" customWidth="1"/>
    <col min="11798" max="11798" width="15.42578125" style="3" customWidth="1"/>
    <col min="11799" max="12034" width="9.140625" style="3"/>
    <col min="12035" max="12035" width="7" style="3" bestFit="1" customWidth="1"/>
    <col min="12036" max="12036" width="10" style="3" customWidth="1"/>
    <col min="12037" max="12037" width="5.28515625" style="3" bestFit="1" customWidth="1"/>
    <col min="12038" max="12038" width="55" style="3" customWidth="1"/>
    <col min="12039" max="12039" width="17" style="3" bestFit="1" customWidth="1"/>
    <col min="12040" max="12040" width="19.140625" style="3" customWidth="1"/>
    <col min="12041" max="12041" width="19.42578125" style="3" customWidth="1"/>
    <col min="12042" max="12046" width="15.140625" style="3" customWidth="1"/>
    <col min="12047" max="12049" width="0" style="3" hidden="1" customWidth="1"/>
    <col min="12050" max="12051" width="10.7109375" style="3" bestFit="1" customWidth="1"/>
    <col min="12052" max="12052" width="10.28515625" style="3" bestFit="1" customWidth="1"/>
    <col min="12053" max="12053" width="11.85546875" style="3" bestFit="1" customWidth="1"/>
    <col min="12054" max="12054" width="15.42578125" style="3" customWidth="1"/>
    <col min="12055" max="12290" width="9.140625" style="3"/>
    <col min="12291" max="12291" width="7" style="3" bestFit="1" customWidth="1"/>
    <col min="12292" max="12292" width="10" style="3" customWidth="1"/>
    <col min="12293" max="12293" width="5.28515625" style="3" bestFit="1" customWidth="1"/>
    <col min="12294" max="12294" width="55" style="3" customWidth="1"/>
    <col min="12295" max="12295" width="17" style="3" bestFit="1" customWidth="1"/>
    <col min="12296" max="12296" width="19.140625" style="3" customWidth="1"/>
    <col min="12297" max="12297" width="19.42578125" style="3" customWidth="1"/>
    <col min="12298" max="12302" width="15.140625" style="3" customWidth="1"/>
    <col min="12303" max="12305" width="0" style="3" hidden="1" customWidth="1"/>
    <col min="12306" max="12307" width="10.7109375" style="3" bestFit="1" customWidth="1"/>
    <col min="12308" max="12308" width="10.28515625" style="3" bestFit="1" customWidth="1"/>
    <col min="12309" max="12309" width="11.85546875" style="3" bestFit="1" customWidth="1"/>
    <col min="12310" max="12310" width="15.42578125" style="3" customWidth="1"/>
    <col min="12311" max="12546" width="9.140625" style="3"/>
    <col min="12547" max="12547" width="7" style="3" bestFit="1" customWidth="1"/>
    <col min="12548" max="12548" width="10" style="3" customWidth="1"/>
    <col min="12549" max="12549" width="5.28515625" style="3" bestFit="1" customWidth="1"/>
    <col min="12550" max="12550" width="55" style="3" customWidth="1"/>
    <col min="12551" max="12551" width="17" style="3" bestFit="1" customWidth="1"/>
    <col min="12552" max="12552" width="19.140625" style="3" customWidth="1"/>
    <col min="12553" max="12553" width="19.42578125" style="3" customWidth="1"/>
    <col min="12554" max="12558" width="15.140625" style="3" customWidth="1"/>
    <col min="12559" max="12561" width="0" style="3" hidden="1" customWidth="1"/>
    <col min="12562" max="12563" width="10.7109375" style="3" bestFit="1" customWidth="1"/>
    <col min="12564" max="12564" width="10.28515625" style="3" bestFit="1" customWidth="1"/>
    <col min="12565" max="12565" width="11.85546875" style="3" bestFit="1" customWidth="1"/>
    <col min="12566" max="12566" width="15.42578125" style="3" customWidth="1"/>
    <col min="12567" max="12802" width="9.140625" style="3"/>
    <col min="12803" max="12803" width="7" style="3" bestFit="1" customWidth="1"/>
    <col min="12804" max="12804" width="10" style="3" customWidth="1"/>
    <col min="12805" max="12805" width="5.28515625" style="3" bestFit="1" customWidth="1"/>
    <col min="12806" max="12806" width="55" style="3" customWidth="1"/>
    <col min="12807" max="12807" width="17" style="3" bestFit="1" customWidth="1"/>
    <col min="12808" max="12808" width="19.140625" style="3" customWidth="1"/>
    <col min="12809" max="12809" width="19.42578125" style="3" customWidth="1"/>
    <col min="12810" max="12814" width="15.140625" style="3" customWidth="1"/>
    <col min="12815" max="12817" width="0" style="3" hidden="1" customWidth="1"/>
    <col min="12818" max="12819" width="10.7109375" style="3" bestFit="1" customWidth="1"/>
    <col min="12820" max="12820" width="10.28515625" style="3" bestFit="1" customWidth="1"/>
    <col min="12821" max="12821" width="11.85546875" style="3" bestFit="1" customWidth="1"/>
    <col min="12822" max="12822" width="15.42578125" style="3" customWidth="1"/>
    <col min="12823" max="13058" width="9.140625" style="3"/>
    <col min="13059" max="13059" width="7" style="3" bestFit="1" customWidth="1"/>
    <col min="13060" max="13060" width="10" style="3" customWidth="1"/>
    <col min="13061" max="13061" width="5.28515625" style="3" bestFit="1" customWidth="1"/>
    <col min="13062" max="13062" width="55" style="3" customWidth="1"/>
    <col min="13063" max="13063" width="17" style="3" bestFit="1" customWidth="1"/>
    <col min="13064" max="13064" width="19.140625" style="3" customWidth="1"/>
    <col min="13065" max="13065" width="19.42578125" style="3" customWidth="1"/>
    <col min="13066" max="13070" width="15.140625" style="3" customWidth="1"/>
    <col min="13071" max="13073" width="0" style="3" hidden="1" customWidth="1"/>
    <col min="13074" max="13075" width="10.7109375" style="3" bestFit="1" customWidth="1"/>
    <col min="13076" max="13076" width="10.28515625" style="3" bestFit="1" customWidth="1"/>
    <col min="13077" max="13077" width="11.85546875" style="3" bestFit="1" customWidth="1"/>
    <col min="13078" max="13078" width="15.42578125" style="3" customWidth="1"/>
    <col min="13079" max="13314" width="9.140625" style="3"/>
    <col min="13315" max="13315" width="7" style="3" bestFit="1" customWidth="1"/>
    <col min="13316" max="13316" width="10" style="3" customWidth="1"/>
    <col min="13317" max="13317" width="5.28515625" style="3" bestFit="1" customWidth="1"/>
    <col min="13318" max="13318" width="55" style="3" customWidth="1"/>
    <col min="13319" max="13319" width="17" style="3" bestFit="1" customWidth="1"/>
    <col min="13320" max="13320" width="19.140625" style="3" customWidth="1"/>
    <col min="13321" max="13321" width="19.42578125" style="3" customWidth="1"/>
    <col min="13322" max="13326" width="15.140625" style="3" customWidth="1"/>
    <col min="13327" max="13329" width="0" style="3" hidden="1" customWidth="1"/>
    <col min="13330" max="13331" width="10.7109375" style="3" bestFit="1" customWidth="1"/>
    <col min="13332" max="13332" width="10.28515625" style="3" bestFit="1" customWidth="1"/>
    <col min="13333" max="13333" width="11.85546875" style="3" bestFit="1" customWidth="1"/>
    <col min="13334" max="13334" width="15.42578125" style="3" customWidth="1"/>
    <col min="13335" max="13570" width="9.140625" style="3"/>
    <col min="13571" max="13571" width="7" style="3" bestFit="1" customWidth="1"/>
    <col min="13572" max="13572" width="10" style="3" customWidth="1"/>
    <col min="13573" max="13573" width="5.28515625" style="3" bestFit="1" customWidth="1"/>
    <col min="13574" max="13574" width="55" style="3" customWidth="1"/>
    <col min="13575" max="13575" width="17" style="3" bestFit="1" customWidth="1"/>
    <col min="13576" max="13576" width="19.140625" style="3" customWidth="1"/>
    <col min="13577" max="13577" width="19.42578125" style="3" customWidth="1"/>
    <col min="13578" max="13582" width="15.140625" style="3" customWidth="1"/>
    <col min="13583" max="13585" width="0" style="3" hidden="1" customWidth="1"/>
    <col min="13586" max="13587" width="10.7109375" style="3" bestFit="1" customWidth="1"/>
    <col min="13588" max="13588" width="10.28515625" style="3" bestFit="1" customWidth="1"/>
    <col min="13589" max="13589" width="11.85546875" style="3" bestFit="1" customWidth="1"/>
    <col min="13590" max="13590" width="15.42578125" style="3" customWidth="1"/>
    <col min="13591" max="13826" width="9.140625" style="3"/>
    <col min="13827" max="13827" width="7" style="3" bestFit="1" customWidth="1"/>
    <col min="13828" max="13828" width="10" style="3" customWidth="1"/>
    <col min="13829" max="13829" width="5.28515625" style="3" bestFit="1" customWidth="1"/>
    <col min="13830" max="13830" width="55" style="3" customWidth="1"/>
    <col min="13831" max="13831" width="17" style="3" bestFit="1" customWidth="1"/>
    <col min="13832" max="13832" width="19.140625" style="3" customWidth="1"/>
    <col min="13833" max="13833" width="19.42578125" style="3" customWidth="1"/>
    <col min="13834" max="13838" width="15.140625" style="3" customWidth="1"/>
    <col min="13839" max="13841" width="0" style="3" hidden="1" customWidth="1"/>
    <col min="13842" max="13843" width="10.7109375" style="3" bestFit="1" customWidth="1"/>
    <col min="13844" max="13844" width="10.28515625" style="3" bestFit="1" customWidth="1"/>
    <col min="13845" max="13845" width="11.85546875" style="3" bestFit="1" customWidth="1"/>
    <col min="13846" max="13846" width="15.42578125" style="3" customWidth="1"/>
    <col min="13847" max="14082" width="9.140625" style="3"/>
    <col min="14083" max="14083" width="7" style="3" bestFit="1" customWidth="1"/>
    <col min="14084" max="14084" width="10" style="3" customWidth="1"/>
    <col min="14085" max="14085" width="5.28515625" style="3" bestFit="1" customWidth="1"/>
    <col min="14086" max="14086" width="55" style="3" customWidth="1"/>
    <col min="14087" max="14087" width="17" style="3" bestFit="1" customWidth="1"/>
    <col min="14088" max="14088" width="19.140625" style="3" customWidth="1"/>
    <col min="14089" max="14089" width="19.42578125" style="3" customWidth="1"/>
    <col min="14090" max="14094" width="15.140625" style="3" customWidth="1"/>
    <col min="14095" max="14097" width="0" style="3" hidden="1" customWidth="1"/>
    <col min="14098" max="14099" width="10.7109375" style="3" bestFit="1" customWidth="1"/>
    <col min="14100" max="14100" width="10.28515625" style="3" bestFit="1" customWidth="1"/>
    <col min="14101" max="14101" width="11.85546875" style="3" bestFit="1" customWidth="1"/>
    <col min="14102" max="14102" width="15.42578125" style="3" customWidth="1"/>
    <col min="14103" max="14338" width="9.140625" style="3"/>
    <col min="14339" max="14339" width="7" style="3" bestFit="1" customWidth="1"/>
    <col min="14340" max="14340" width="10" style="3" customWidth="1"/>
    <col min="14341" max="14341" width="5.28515625" style="3" bestFit="1" customWidth="1"/>
    <col min="14342" max="14342" width="55" style="3" customWidth="1"/>
    <col min="14343" max="14343" width="17" style="3" bestFit="1" customWidth="1"/>
    <col min="14344" max="14344" width="19.140625" style="3" customWidth="1"/>
    <col min="14345" max="14345" width="19.42578125" style="3" customWidth="1"/>
    <col min="14346" max="14350" width="15.140625" style="3" customWidth="1"/>
    <col min="14351" max="14353" width="0" style="3" hidden="1" customWidth="1"/>
    <col min="14354" max="14355" width="10.7109375" style="3" bestFit="1" customWidth="1"/>
    <col min="14356" max="14356" width="10.28515625" style="3" bestFit="1" customWidth="1"/>
    <col min="14357" max="14357" width="11.85546875" style="3" bestFit="1" customWidth="1"/>
    <col min="14358" max="14358" width="15.42578125" style="3" customWidth="1"/>
    <col min="14359" max="14594" width="9.140625" style="3"/>
    <col min="14595" max="14595" width="7" style="3" bestFit="1" customWidth="1"/>
    <col min="14596" max="14596" width="10" style="3" customWidth="1"/>
    <col min="14597" max="14597" width="5.28515625" style="3" bestFit="1" customWidth="1"/>
    <col min="14598" max="14598" width="55" style="3" customWidth="1"/>
    <col min="14599" max="14599" width="17" style="3" bestFit="1" customWidth="1"/>
    <col min="14600" max="14600" width="19.140625" style="3" customWidth="1"/>
    <col min="14601" max="14601" width="19.42578125" style="3" customWidth="1"/>
    <col min="14602" max="14606" width="15.140625" style="3" customWidth="1"/>
    <col min="14607" max="14609" width="0" style="3" hidden="1" customWidth="1"/>
    <col min="14610" max="14611" width="10.7109375" style="3" bestFit="1" customWidth="1"/>
    <col min="14612" max="14612" width="10.28515625" style="3" bestFit="1" customWidth="1"/>
    <col min="14613" max="14613" width="11.85546875" style="3" bestFit="1" customWidth="1"/>
    <col min="14614" max="14614" width="15.42578125" style="3" customWidth="1"/>
    <col min="14615" max="14850" width="9.140625" style="3"/>
    <col min="14851" max="14851" width="7" style="3" bestFit="1" customWidth="1"/>
    <col min="14852" max="14852" width="10" style="3" customWidth="1"/>
    <col min="14853" max="14853" width="5.28515625" style="3" bestFit="1" customWidth="1"/>
    <col min="14854" max="14854" width="55" style="3" customWidth="1"/>
    <col min="14855" max="14855" width="17" style="3" bestFit="1" customWidth="1"/>
    <col min="14856" max="14856" width="19.140625" style="3" customWidth="1"/>
    <col min="14857" max="14857" width="19.42578125" style="3" customWidth="1"/>
    <col min="14858" max="14862" width="15.140625" style="3" customWidth="1"/>
    <col min="14863" max="14865" width="0" style="3" hidden="1" customWidth="1"/>
    <col min="14866" max="14867" width="10.7109375" style="3" bestFit="1" customWidth="1"/>
    <col min="14868" max="14868" width="10.28515625" style="3" bestFit="1" customWidth="1"/>
    <col min="14869" max="14869" width="11.85546875" style="3" bestFit="1" customWidth="1"/>
    <col min="14870" max="14870" width="15.42578125" style="3" customWidth="1"/>
    <col min="14871" max="15106" width="9.140625" style="3"/>
    <col min="15107" max="15107" width="7" style="3" bestFit="1" customWidth="1"/>
    <col min="15108" max="15108" width="10" style="3" customWidth="1"/>
    <col min="15109" max="15109" width="5.28515625" style="3" bestFit="1" customWidth="1"/>
    <col min="15110" max="15110" width="55" style="3" customWidth="1"/>
    <col min="15111" max="15111" width="17" style="3" bestFit="1" customWidth="1"/>
    <col min="15112" max="15112" width="19.140625" style="3" customWidth="1"/>
    <col min="15113" max="15113" width="19.42578125" style="3" customWidth="1"/>
    <col min="15114" max="15118" width="15.140625" style="3" customWidth="1"/>
    <col min="15119" max="15121" width="0" style="3" hidden="1" customWidth="1"/>
    <col min="15122" max="15123" width="10.7109375" style="3" bestFit="1" customWidth="1"/>
    <col min="15124" max="15124" width="10.28515625" style="3" bestFit="1" customWidth="1"/>
    <col min="15125" max="15125" width="11.85546875" style="3" bestFit="1" customWidth="1"/>
    <col min="15126" max="15126" width="15.42578125" style="3" customWidth="1"/>
    <col min="15127" max="15362" width="9.140625" style="3"/>
    <col min="15363" max="15363" width="7" style="3" bestFit="1" customWidth="1"/>
    <col min="15364" max="15364" width="10" style="3" customWidth="1"/>
    <col min="15365" max="15365" width="5.28515625" style="3" bestFit="1" customWidth="1"/>
    <col min="15366" max="15366" width="55" style="3" customWidth="1"/>
    <col min="15367" max="15367" width="17" style="3" bestFit="1" customWidth="1"/>
    <col min="15368" max="15368" width="19.140625" style="3" customWidth="1"/>
    <col min="15369" max="15369" width="19.42578125" style="3" customWidth="1"/>
    <col min="15370" max="15374" width="15.140625" style="3" customWidth="1"/>
    <col min="15375" max="15377" width="0" style="3" hidden="1" customWidth="1"/>
    <col min="15378" max="15379" width="10.7109375" style="3" bestFit="1" customWidth="1"/>
    <col min="15380" max="15380" width="10.28515625" style="3" bestFit="1" customWidth="1"/>
    <col min="15381" max="15381" width="11.85546875" style="3" bestFit="1" customWidth="1"/>
    <col min="15382" max="15382" width="15.42578125" style="3" customWidth="1"/>
    <col min="15383" max="15618" width="9.140625" style="3"/>
    <col min="15619" max="15619" width="7" style="3" bestFit="1" customWidth="1"/>
    <col min="15620" max="15620" width="10" style="3" customWidth="1"/>
    <col min="15621" max="15621" width="5.28515625" style="3" bestFit="1" customWidth="1"/>
    <col min="15622" max="15622" width="55" style="3" customWidth="1"/>
    <col min="15623" max="15623" width="17" style="3" bestFit="1" customWidth="1"/>
    <col min="15624" max="15624" width="19.140625" style="3" customWidth="1"/>
    <col min="15625" max="15625" width="19.42578125" style="3" customWidth="1"/>
    <col min="15626" max="15630" width="15.140625" style="3" customWidth="1"/>
    <col min="15631" max="15633" width="0" style="3" hidden="1" customWidth="1"/>
    <col min="15634" max="15635" width="10.7109375" style="3" bestFit="1" customWidth="1"/>
    <col min="15636" max="15636" width="10.28515625" style="3" bestFit="1" customWidth="1"/>
    <col min="15637" max="15637" width="11.85546875" style="3" bestFit="1" customWidth="1"/>
    <col min="15638" max="15638" width="15.42578125" style="3" customWidth="1"/>
    <col min="15639" max="15874" width="9.140625" style="3"/>
    <col min="15875" max="15875" width="7" style="3" bestFit="1" customWidth="1"/>
    <col min="15876" max="15876" width="10" style="3" customWidth="1"/>
    <col min="15877" max="15877" width="5.28515625" style="3" bestFit="1" customWidth="1"/>
    <col min="15878" max="15878" width="55" style="3" customWidth="1"/>
    <col min="15879" max="15879" width="17" style="3" bestFit="1" customWidth="1"/>
    <col min="15880" max="15880" width="19.140625" style="3" customWidth="1"/>
    <col min="15881" max="15881" width="19.42578125" style="3" customWidth="1"/>
    <col min="15882" max="15886" width="15.140625" style="3" customWidth="1"/>
    <col min="15887" max="15889" width="0" style="3" hidden="1" customWidth="1"/>
    <col min="15890" max="15891" width="10.7109375" style="3" bestFit="1" customWidth="1"/>
    <col min="15892" max="15892" width="10.28515625" style="3" bestFit="1" customWidth="1"/>
    <col min="15893" max="15893" width="11.85546875" style="3" bestFit="1" customWidth="1"/>
    <col min="15894" max="15894" width="15.42578125" style="3" customWidth="1"/>
    <col min="15895" max="16130" width="9.140625" style="3"/>
    <col min="16131" max="16131" width="7" style="3" bestFit="1" customWidth="1"/>
    <col min="16132" max="16132" width="10" style="3" customWidth="1"/>
    <col min="16133" max="16133" width="5.28515625" style="3" bestFit="1" customWidth="1"/>
    <col min="16134" max="16134" width="55" style="3" customWidth="1"/>
    <col min="16135" max="16135" width="17" style="3" bestFit="1" customWidth="1"/>
    <col min="16136" max="16136" width="19.140625" style="3" customWidth="1"/>
    <col min="16137" max="16137" width="19.42578125" style="3" customWidth="1"/>
    <col min="16138" max="16142" width="15.140625" style="3" customWidth="1"/>
    <col min="16143" max="16145" width="0" style="3" hidden="1" customWidth="1"/>
    <col min="16146" max="16147" width="10.7109375" style="3" bestFit="1" customWidth="1"/>
    <col min="16148" max="16148" width="10.28515625" style="3" bestFit="1" customWidth="1"/>
    <col min="16149" max="16149" width="11.85546875" style="3" bestFit="1" customWidth="1"/>
    <col min="16150" max="16150" width="15.42578125" style="3" customWidth="1"/>
    <col min="16151" max="16384" width="9.140625" style="3"/>
  </cols>
  <sheetData>
    <row r="1" spans="1:17" ht="31.5" customHeight="1" x14ac:dyDescent="0.25">
      <c r="A1" s="931" t="s">
        <v>0</v>
      </c>
      <c r="B1" s="931"/>
      <c r="C1" s="931"/>
      <c r="D1" s="931"/>
      <c r="E1" s="931"/>
      <c r="F1" s="931"/>
      <c r="G1" s="931"/>
      <c r="H1" s="931"/>
      <c r="I1" s="931"/>
      <c r="J1" s="2"/>
    </row>
    <row r="2" spans="1:17" ht="31.5" customHeight="1" x14ac:dyDescent="0.25">
      <c r="A2" s="932" t="s">
        <v>1</v>
      </c>
      <c r="B2" s="932"/>
      <c r="C2" s="932"/>
      <c r="D2" s="932"/>
      <c r="E2" s="932"/>
      <c r="F2" s="932"/>
      <c r="G2" s="932"/>
      <c r="H2" s="932"/>
      <c r="I2" s="932"/>
      <c r="J2" s="2"/>
    </row>
    <row r="3" spans="1:17" ht="31.5" customHeight="1" x14ac:dyDescent="0.25">
      <c r="A3" s="932" t="s">
        <v>379</v>
      </c>
      <c r="B3" s="932"/>
      <c r="C3" s="932"/>
      <c r="D3" s="932"/>
      <c r="E3" s="932"/>
      <c r="F3" s="932"/>
      <c r="G3" s="932"/>
      <c r="H3" s="932"/>
      <c r="I3" s="932"/>
      <c r="J3" s="2"/>
    </row>
    <row r="4" spans="1:17" ht="18.75" customHeight="1" x14ac:dyDescent="0.25">
      <c r="A4" s="5"/>
      <c r="B4" s="5"/>
      <c r="C4" s="5"/>
      <c r="D4" s="4"/>
      <c r="E4" s="4"/>
      <c r="F4" s="6"/>
      <c r="G4" s="6"/>
      <c r="H4" s="4"/>
      <c r="I4" s="545"/>
      <c r="J4" s="545"/>
    </row>
    <row r="5" spans="1:17" ht="15.75" customHeight="1" x14ac:dyDescent="0.25">
      <c r="A5" s="933" t="s">
        <v>2</v>
      </c>
      <c r="B5" s="934"/>
      <c r="C5" s="934"/>
      <c r="D5" s="934"/>
      <c r="E5" s="934"/>
      <c r="F5" s="934"/>
      <c r="G5" s="934"/>
      <c r="H5" s="934"/>
      <c r="I5" s="934"/>
      <c r="J5" s="3"/>
    </row>
    <row r="6" spans="1:17" s="12" customFormat="1" ht="45" x14ac:dyDescent="0.25">
      <c r="A6" s="7" t="s">
        <v>3</v>
      </c>
      <c r="B6" s="7" t="s">
        <v>4</v>
      </c>
      <c r="C6" s="8" t="s">
        <v>5</v>
      </c>
      <c r="D6" s="9" t="s">
        <v>6</v>
      </c>
      <c r="E6" s="598" t="s">
        <v>629</v>
      </c>
      <c r="F6" s="694" t="s">
        <v>608</v>
      </c>
      <c r="G6" s="597" t="s">
        <v>609</v>
      </c>
      <c r="H6" s="543" t="s">
        <v>615</v>
      </c>
      <c r="I6" s="546" t="s">
        <v>547</v>
      </c>
      <c r="J6" s="546" t="s">
        <v>547</v>
      </c>
      <c r="K6" s="3"/>
      <c r="L6" s="3"/>
      <c r="M6" s="3"/>
      <c r="N6" s="3"/>
      <c r="O6" s="3"/>
      <c r="P6" s="3"/>
      <c r="Q6" s="3"/>
    </row>
    <row r="7" spans="1:17" s="12" customFormat="1" x14ac:dyDescent="0.25">
      <c r="A7" s="927">
        <v>1</v>
      </c>
      <c r="B7" s="927"/>
      <c r="C7" s="927"/>
      <c r="D7" s="927"/>
      <c r="E7" s="541">
        <v>2</v>
      </c>
      <c r="F7" s="13">
        <v>3</v>
      </c>
      <c r="G7" s="13">
        <v>4</v>
      </c>
      <c r="H7" s="14">
        <v>5</v>
      </c>
      <c r="I7" s="588" t="s">
        <v>546</v>
      </c>
      <c r="J7" s="588" t="s">
        <v>551</v>
      </c>
      <c r="K7" s="3"/>
      <c r="L7" s="3"/>
      <c r="M7" s="3"/>
      <c r="N7" s="3"/>
      <c r="O7" s="3"/>
      <c r="P7" s="3"/>
      <c r="Q7" s="3"/>
    </row>
    <row r="8" spans="1:17" s="20" customFormat="1" x14ac:dyDescent="0.25">
      <c r="A8" s="15">
        <v>6</v>
      </c>
      <c r="B8" s="16"/>
      <c r="C8" s="15"/>
      <c r="D8" s="17" t="s">
        <v>7</v>
      </c>
      <c r="E8" s="18">
        <f>SUM(E15,E36,E57,E75,E81,E86)</f>
        <v>2228337.5500000003</v>
      </c>
      <c r="F8" s="18">
        <f>SUM(F15,F36,F57,F75,F81,F86)</f>
        <v>4702255.63</v>
      </c>
      <c r="G8" s="18">
        <f>SUM(G15,G36,G57,G75,G81,G86)</f>
        <v>4988157.92</v>
      </c>
      <c r="H8" s="18">
        <f>SUM(H15,H36,H57,H75,H81,H86)</f>
        <v>2608090.3099999996</v>
      </c>
      <c r="I8" s="544">
        <f>H8/F8*100</f>
        <v>55.464664518887496</v>
      </c>
      <c r="J8" s="544">
        <f>H8/G8*100</f>
        <v>52.285640347168474</v>
      </c>
      <c r="K8" s="860"/>
      <c r="L8" s="19"/>
      <c r="M8" s="19"/>
      <c r="N8" s="19"/>
      <c r="O8" s="19"/>
      <c r="P8" s="19"/>
      <c r="Q8" s="19"/>
    </row>
    <row r="9" spans="1:17" s="20" customFormat="1" ht="30" x14ac:dyDescent="0.25">
      <c r="A9" s="21"/>
      <c r="B9" s="22">
        <v>67</v>
      </c>
      <c r="C9" s="23"/>
      <c r="D9" s="24" t="s">
        <v>8</v>
      </c>
      <c r="E9" s="25">
        <f>E10</f>
        <v>130583.54000000001</v>
      </c>
      <c r="F9" s="25">
        <f>F10</f>
        <v>369361.73000000004</v>
      </c>
      <c r="G9" s="25">
        <f>G10</f>
        <v>311264.02</v>
      </c>
      <c r="H9" s="25">
        <f>H10</f>
        <v>116122.25</v>
      </c>
      <c r="I9" s="548">
        <f>H9/F9*100</f>
        <v>31.438625219781159</v>
      </c>
      <c r="J9" s="548">
        <f t="shared" ref="J9:J77" si="0">H9/G9*100</f>
        <v>37.306672965285223</v>
      </c>
      <c r="K9" s="19"/>
      <c r="L9" s="19"/>
      <c r="M9" s="19"/>
      <c r="N9" s="19"/>
      <c r="O9" s="19"/>
      <c r="P9" s="19"/>
      <c r="Q9" s="19"/>
    </row>
    <row r="10" spans="1:17" s="20" customFormat="1" ht="30" x14ac:dyDescent="0.25">
      <c r="A10" s="21"/>
      <c r="B10" s="26" t="s">
        <v>9</v>
      </c>
      <c r="C10" s="27"/>
      <c r="D10" s="28" t="s">
        <v>10</v>
      </c>
      <c r="E10" s="29">
        <f>SUM(E11,E13)</f>
        <v>130583.54000000001</v>
      </c>
      <c r="F10" s="29">
        <f>SUM(F11,F13)</f>
        <v>369361.73000000004</v>
      </c>
      <c r="G10" s="29">
        <f>SUM(G11,G13)</f>
        <v>311264.02</v>
      </c>
      <c r="H10" s="29">
        <f>SUM(H11,H13)</f>
        <v>116122.25</v>
      </c>
      <c r="I10" s="552">
        <f t="shared" ref="I10:I14" si="1">H10/F10*100</f>
        <v>31.438625219781159</v>
      </c>
      <c r="J10" s="552">
        <f t="shared" si="0"/>
        <v>37.306672965285223</v>
      </c>
      <c r="K10" s="19"/>
      <c r="L10" s="19"/>
      <c r="M10" s="19"/>
      <c r="N10" s="19"/>
      <c r="O10" s="19"/>
      <c r="P10" s="19"/>
      <c r="Q10" s="19"/>
    </row>
    <row r="11" spans="1:17" s="20" customFormat="1" ht="15" customHeight="1" x14ac:dyDescent="0.25">
      <c r="A11" s="21"/>
      <c r="B11" s="518" t="s">
        <v>11</v>
      </c>
      <c r="C11" s="519"/>
      <c r="D11" s="520" t="s">
        <v>12</v>
      </c>
      <c r="E11" s="29">
        <f>E12</f>
        <v>54337.27</v>
      </c>
      <c r="F11" s="29">
        <f>F12</f>
        <v>103638.02</v>
      </c>
      <c r="G11" s="29">
        <f>G12</f>
        <v>102264.02</v>
      </c>
      <c r="H11" s="29">
        <f>H12</f>
        <v>116122.25</v>
      </c>
      <c r="I11" s="552">
        <f t="shared" si="1"/>
        <v>112.04599431752942</v>
      </c>
      <c r="J11" s="552">
        <f t="shared" si="0"/>
        <v>113.55142307137936</v>
      </c>
      <c r="K11" s="19"/>
      <c r="L11" s="19"/>
      <c r="M11" s="19"/>
      <c r="N11" s="19"/>
      <c r="O11" s="19"/>
      <c r="P11" s="19"/>
      <c r="Q11" s="19"/>
    </row>
    <row r="12" spans="1:17" s="20" customFormat="1" ht="15" customHeight="1" x14ac:dyDescent="0.25">
      <c r="A12" s="21"/>
      <c r="B12" s="30" t="s">
        <v>456</v>
      </c>
      <c r="C12" s="31"/>
      <c r="D12" s="32" t="s">
        <v>12</v>
      </c>
      <c r="E12" s="33">
        <v>54337.27</v>
      </c>
      <c r="F12" s="33">
        <v>103638.02</v>
      </c>
      <c r="G12" s="33">
        <v>102264.02</v>
      </c>
      <c r="H12" s="33">
        <f>36122.25+40000+40000</f>
        <v>116122.25</v>
      </c>
      <c r="I12" s="552">
        <f t="shared" si="1"/>
        <v>112.04599431752942</v>
      </c>
      <c r="J12" s="552">
        <f t="shared" si="0"/>
        <v>113.55142307137936</v>
      </c>
      <c r="K12" s="19"/>
      <c r="L12" s="19"/>
      <c r="M12" s="19"/>
      <c r="N12" s="19"/>
      <c r="O12" s="19"/>
      <c r="P12" s="19"/>
      <c r="Q12" s="19"/>
    </row>
    <row r="13" spans="1:17" s="20" customFormat="1" x14ac:dyDescent="0.25">
      <c r="A13" s="21"/>
      <c r="B13" s="518" t="s">
        <v>13</v>
      </c>
      <c r="C13" s="519"/>
      <c r="D13" s="520" t="s">
        <v>14</v>
      </c>
      <c r="E13" s="29">
        <f>E14</f>
        <v>76246.27</v>
      </c>
      <c r="F13" s="29">
        <f>F14</f>
        <v>265723.71000000002</v>
      </c>
      <c r="G13" s="29">
        <f>G14</f>
        <v>209000</v>
      </c>
      <c r="H13" s="29">
        <f>H14</f>
        <v>0</v>
      </c>
      <c r="I13" s="552">
        <f t="shared" si="1"/>
        <v>0</v>
      </c>
      <c r="J13" s="552">
        <f t="shared" si="0"/>
        <v>0</v>
      </c>
      <c r="K13" s="19"/>
      <c r="L13" s="19"/>
      <c r="M13" s="19"/>
      <c r="N13" s="19"/>
      <c r="O13" s="19"/>
      <c r="P13" s="19"/>
      <c r="Q13" s="19"/>
    </row>
    <row r="14" spans="1:17" s="20" customFormat="1" x14ac:dyDescent="0.25">
      <c r="A14" s="21"/>
      <c r="B14" s="30" t="s">
        <v>457</v>
      </c>
      <c r="C14" s="31"/>
      <c r="D14" s="32" t="s">
        <v>14</v>
      </c>
      <c r="E14" s="33">
        <v>76246.27</v>
      </c>
      <c r="F14" s="33">
        <v>265723.71000000002</v>
      </c>
      <c r="G14" s="33">
        <v>209000</v>
      </c>
      <c r="H14" s="33">
        <v>0</v>
      </c>
      <c r="I14" s="552">
        <f t="shared" si="1"/>
        <v>0</v>
      </c>
      <c r="J14" s="552">
        <f t="shared" si="0"/>
        <v>0</v>
      </c>
      <c r="K14" s="19"/>
      <c r="L14" s="19"/>
      <c r="M14" s="19"/>
      <c r="N14" s="19"/>
      <c r="O14" s="19"/>
      <c r="P14" s="19"/>
      <c r="Q14" s="19"/>
    </row>
    <row r="15" spans="1:17" s="40" customFormat="1" x14ac:dyDescent="0.25">
      <c r="A15" s="34"/>
      <c r="B15" s="35"/>
      <c r="C15" s="36">
        <v>11</v>
      </c>
      <c r="D15" s="37" t="s">
        <v>15</v>
      </c>
      <c r="E15" s="38">
        <f>E9</f>
        <v>130583.54000000001</v>
      </c>
      <c r="F15" s="38">
        <f>F9</f>
        <v>369361.73000000004</v>
      </c>
      <c r="G15" s="38">
        <f>G9</f>
        <v>311264.02</v>
      </c>
      <c r="H15" s="38">
        <f>H9</f>
        <v>116122.25</v>
      </c>
      <c r="I15" s="549">
        <f t="shared" ref="I15:I50" si="2">H15/F15*100</f>
        <v>31.438625219781159</v>
      </c>
      <c r="J15" s="549">
        <f t="shared" si="0"/>
        <v>37.306672965285223</v>
      </c>
      <c r="K15" s="39"/>
      <c r="L15" s="39"/>
      <c r="M15" s="39"/>
      <c r="N15" s="39"/>
      <c r="O15" s="39"/>
      <c r="P15" s="39"/>
      <c r="Q15" s="39"/>
    </row>
    <row r="16" spans="1:17" s="12" customFormat="1" x14ac:dyDescent="0.25">
      <c r="A16" s="41"/>
      <c r="B16" s="22">
        <v>63</v>
      </c>
      <c r="C16" s="23"/>
      <c r="D16" s="24" t="s">
        <v>16</v>
      </c>
      <c r="E16" s="42">
        <f>SUM(E17,E22,E25,E30,E34)</f>
        <v>15048.23</v>
      </c>
      <c r="F16" s="42">
        <f>SUM(F17,F22,F25,F30,F34)</f>
        <v>128013.95</v>
      </c>
      <c r="G16" s="42">
        <f>SUM(G17,G22,G25,G30,G34)</f>
        <v>472013.94999999995</v>
      </c>
      <c r="H16" s="42">
        <f>SUM(H17,H22,H25,H30,H34)</f>
        <v>293965.23</v>
      </c>
      <c r="I16" s="550">
        <f t="shared" si="2"/>
        <v>229.63530927684053</v>
      </c>
      <c r="J16" s="550">
        <f t="shared" si="0"/>
        <v>62.278928408789611</v>
      </c>
      <c r="K16" s="3"/>
      <c r="L16" s="3"/>
      <c r="M16" s="3"/>
      <c r="N16" s="3"/>
      <c r="O16" s="3"/>
      <c r="P16" s="3"/>
      <c r="Q16" s="3"/>
    </row>
    <row r="17" spans="1:17" s="12" customFormat="1" x14ac:dyDescent="0.25">
      <c r="A17" s="41"/>
      <c r="B17" s="43" t="s">
        <v>17</v>
      </c>
      <c r="C17" s="44"/>
      <c r="D17" s="45" t="s">
        <v>18</v>
      </c>
      <c r="E17" s="46">
        <f t="shared" ref="E17:G17" si="3">E18</f>
        <v>600</v>
      </c>
      <c r="F17" s="46">
        <f t="shared" si="3"/>
        <v>0</v>
      </c>
      <c r="G17" s="46">
        <f t="shared" si="3"/>
        <v>60000</v>
      </c>
      <c r="H17" s="46">
        <f>H18</f>
        <v>0</v>
      </c>
      <c r="I17" s="551" t="e">
        <f t="shared" si="2"/>
        <v>#DIV/0!</v>
      </c>
      <c r="J17" s="551">
        <f t="shared" si="0"/>
        <v>0</v>
      </c>
      <c r="K17" s="3"/>
      <c r="L17" s="3"/>
      <c r="M17" s="3"/>
      <c r="N17" s="3"/>
      <c r="O17" s="3"/>
      <c r="P17" s="3"/>
      <c r="Q17" s="3"/>
    </row>
    <row r="18" spans="1:17" s="52" customFormat="1" x14ac:dyDescent="0.25">
      <c r="A18" s="47"/>
      <c r="B18" s="149" t="s">
        <v>19</v>
      </c>
      <c r="C18" s="510"/>
      <c r="D18" s="73" t="s">
        <v>20</v>
      </c>
      <c r="E18" s="93">
        <f>E20</f>
        <v>600</v>
      </c>
      <c r="F18" s="93">
        <f>F20</f>
        <v>0</v>
      </c>
      <c r="G18" s="93">
        <f>G19+G20</f>
        <v>60000</v>
      </c>
      <c r="H18" s="93">
        <f>H19+H20</f>
        <v>0</v>
      </c>
      <c r="I18" s="551" t="e">
        <f t="shared" si="2"/>
        <v>#DIV/0!</v>
      </c>
      <c r="J18" s="551">
        <f t="shared" si="0"/>
        <v>0</v>
      </c>
      <c r="K18" s="51"/>
      <c r="L18" s="51"/>
      <c r="M18" s="51"/>
      <c r="N18" s="51"/>
      <c r="O18" s="51"/>
      <c r="P18" s="51"/>
      <c r="Q18" s="51"/>
    </row>
    <row r="19" spans="1:17" s="52" customFormat="1" x14ac:dyDescent="0.25">
      <c r="A19" s="47"/>
      <c r="B19" s="48" t="s">
        <v>598</v>
      </c>
      <c r="C19" s="510"/>
      <c r="D19" s="49" t="s">
        <v>599</v>
      </c>
      <c r="E19" s="93"/>
      <c r="F19" s="93"/>
      <c r="G19" s="50">
        <v>60000</v>
      </c>
      <c r="H19" s="50">
        <v>0</v>
      </c>
      <c r="I19" s="551"/>
      <c r="J19" s="551">
        <f t="shared" si="0"/>
        <v>0</v>
      </c>
      <c r="K19" s="51"/>
      <c r="L19" s="51"/>
      <c r="M19" s="51"/>
      <c r="N19" s="51"/>
      <c r="O19" s="51"/>
      <c r="P19" s="51"/>
      <c r="Q19" s="51"/>
    </row>
    <row r="20" spans="1:17" s="52" customFormat="1" x14ac:dyDescent="0.25">
      <c r="A20" s="47"/>
      <c r="B20" s="48" t="s">
        <v>548</v>
      </c>
      <c r="C20" s="594"/>
      <c r="D20" s="49" t="s">
        <v>549</v>
      </c>
      <c r="E20" s="50">
        <v>600</v>
      </c>
      <c r="F20" s="50">
        <v>0</v>
      </c>
      <c r="G20" s="50">
        <v>0</v>
      </c>
      <c r="H20" s="50">
        <v>0</v>
      </c>
      <c r="I20" s="551" t="e">
        <f t="shared" si="2"/>
        <v>#DIV/0!</v>
      </c>
      <c r="J20" s="551" t="e">
        <f t="shared" si="0"/>
        <v>#DIV/0!</v>
      </c>
      <c r="K20" s="51"/>
      <c r="L20" s="51"/>
      <c r="M20" s="51"/>
      <c r="N20" s="51"/>
      <c r="O20" s="51"/>
      <c r="P20" s="51"/>
      <c r="Q20" s="51"/>
    </row>
    <row r="21" spans="1:17" s="52" customFormat="1" x14ac:dyDescent="0.25">
      <c r="A21" s="47"/>
      <c r="B21" s="149" t="s">
        <v>21</v>
      </c>
      <c r="C21" s="510"/>
      <c r="D21" s="73" t="s">
        <v>22</v>
      </c>
      <c r="E21" s="93"/>
      <c r="F21" s="93"/>
      <c r="G21" s="93"/>
      <c r="H21" s="93"/>
      <c r="I21" s="551" t="e">
        <f t="shared" si="2"/>
        <v>#DIV/0!</v>
      </c>
      <c r="J21" s="551" t="e">
        <f t="shared" si="0"/>
        <v>#DIV/0!</v>
      </c>
      <c r="K21" s="51"/>
      <c r="L21" s="51"/>
      <c r="M21" s="51"/>
      <c r="N21" s="51"/>
      <c r="O21" s="51"/>
      <c r="P21" s="51"/>
      <c r="Q21" s="51"/>
    </row>
    <row r="22" spans="1:17" s="20" customFormat="1" x14ac:dyDescent="0.25">
      <c r="A22" s="41"/>
      <c r="B22" s="53" t="s">
        <v>23</v>
      </c>
      <c r="C22" s="54"/>
      <c r="D22" s="55" t="s">
        <v>24</v>
      </c>
      <c r="E22" s="56">
        <f t="shared" ref="E22:G23" si="4">SUM(E23)</f>
        <v>0</v>
      </c>
      <c r="F22" s="56">
        <f t="shared" si="4"/>
        <v>68314.61</v>
      </c>
      <c r="G22" s="56">
        <f t="shared" si="4"/>
        <v>68314.61</v>
      </c>
      <c r="H22" s="56">
        <f t="shared" ref="H22:H23" si="5">SUM(H23)</f>
        <v>0</v>
      </c>
      <c r="I22" s="551">
        <f t="shared" si="2"/>
        <v>0</v>
      </c>
      <c r="J22" s="551">
        <f t="shared" si="0"/>
        <v>0</v>
      </c>
      <c r="K22" s="19"/>
      <c r="L22" s="19"/>
      <c r="M22" s="19"/>
      <c r="N22" s="19"/>
      <c r="O22" s="19"/>
      <c r="P22" s="19"/>
      <c r="Q22" s="19"/>
    </row>
    <row r="23" spans="1:17" s="20" customFormat="1" x14ac:dyDescent="0.25">
      <c r="A23" s="41"/>
      <c r="B23" s="60" t="s">
        <v>25</v>
      </c>
      <c r="C23" s="61"/>
      <c r="D23" s="62" t="s">
        <v>26</v>
      </c>
      <c r="E23" s="56">
        <f t="shared" si="4"/>
        <v>0</v>
      </c>
      <c r="F23" s="56">
        <f t="shared" si="4"/>
        <v>68314.61</v>
      </c>
      <c r="G23" s="56">
        <f t="shared" si="4"/>
        <v>68314.61</v>
      </c>
      <c r="H23" s="56">
        <f t="shared" si="5"/>
        <v>0</v>
      </c>
      <c r="I23" s="551">
        <f t="shared" si="2"/>
        <v>0</v>
      </c>
      <c r="J23" s="551">
        <f t="shared" si="0"/>
        <v>0</v>
      </c>
      <c r="K23" s="19"/>
      <c r="L23" s="19"/>
      <c r="M23" s="19"/>
      <c r="N23" s="19"/>
      <c r="O23" s="19"/>
      <c r="P23" s="19"/>
      <c r="Q23" s="19"/>
    </row>
    <row r="24" spans="1:17" s="12" customFormat="1" x14ac:dyDescent="0.25">
      <c r="A24" s="21"/>
      <c r="B24" s="57" t="s">
        <v>458</v>
      </c>
      <c r="C24" s="21"/>
      <c r="D24" s="58" t="s">
        <v>26</v>
      </c>
      <c r="E24" s="59">
        <v>0</v>
      </c>
      <c r="F24" s="59">
        <v>68314.61</v>
      </c>
      <c r="G24" s="59">
        <v>68314.61</v>
      </c>
      <c r="H24" s="59">
        <v>0</v>
      </c>
      <c r="I24" s="551">
        <f t="shared" si="2"/>
        <v>0</v>
      </c>
      <c r="J24" s="551">
        <f t="shared" si="0"/>
        <v>0</v>
      </c>
      <c r="K24" s="3"/>
      <c r="L24" s="19"/>
      <c r="M24" s="3"/>
      <c r="N24" s="3"/>
      <c r="O24" s="3"/>
      <c r="P24" s="3"/>
      <c r="Q24" s="3"/>
    </row>
    <row r="25" spans="1:17" s="12" customFormat="1" ht="15" customHeight="1" x14ac:dyDescent="0.25">
      <c r="A25" s="21"/>
      <c r="B25" s="60" t="s">
        <v>27</v>
      </c>
      <c r="C25" s="61"/>
      <c r="D25" s="62" t="s">
        <v>28</v>
      </c>
      <c r="E25" s="63">
        <f>SUM(E26)</f>
        <v>0</v>
      </c>
      <c r="F25" s="63">
        <f>SUM(F26)</f>
        <v>14000</v>
      </c>
      <c r="G25" s="63">
        <f>G26+G28</f>
        <v>298000</v>
      </c>
      <c r="H25" s="63">
        <f>H26+H28</f>
        <v>284000</v>
      </c>
      <c r="I25" s="551">
        <f t="shared" si="2"/>
        <v>2028.5714285714284</v>
      </c>
      <c r="J25" s="551">
        <f t="shared" si="0"/>
        <v>95.302013422818789</v>
      </c>
      <c r="K25" s="3"/>
      <c r="L25" s="19"/>
      <c r="M25" s="3"/>
      <c r="N25" s="3"/>
      <c r="O25" s="3"/>
      <c r="P25" s="3"/>
      <c r="Q25" s="3"/>
    </row>
    <row r="26" spans="1:17" s="12" customFormat="1" ht="30" x14ac:dyDescent="0.25">
      <c r="A26" s="21"/>
      <c r="B26" s="60" t="s">
        <v>29</v>
      </c>
      <c r="C26" s="61"/>
      <c r="D26" s="62" t="s">
        <v>30</v>
      </c>
      <c r="E26" s="63">
        <f>SUM(E27)</f>
        <v>0</v>
      </c>
      <c r="F26" s="63">
        <f>SUM(F27)</f>
        <v>14000</v>
      </c>
      <c r="G26" s="63">
        <f>SUM(G27)</f>
        <v>14000</v>
      </c>
      <c r="H26" s="63">
        <f>SUM(H27)</f>
        <v>0</v>
      </c>
      <c r="I26" s="551">
        <f t="shared" si="2"/>
        <v>0</v>
      </c>
      <c r="J26" s="551">
        <f t="shared" si="0"/>
        <v>0</v>
      </c>
      <c r="K26" s="3"/>
      <c r="L26" s="19"/>
      <c r="M26" s="3"/>
      <c r="N26" s="3"/>
      <c r="O26" s="3"/>
      <c r="P26" s="3"/>
      <c r="Q26" s="3"/>
    </row>
    <row r="27" spans="1:17" s="12" customFormat="1" ht="30" x14ac:dyDescent="0.25">
      <c r="A27" s="21"/>
      <c r="B27" s="57" t="s">
        <v>459</v>
      </c>
      <c r="C27" s="21"/>
      <c r="D27" s="58" t="s">
        <v>30</v>
      </c>
      <c r="E27" s="59">
        <v>0</v>
      </c>
      <c r="F27" s="59">
        <v>14000</v>
      </c>
      <c r="G27" s="59">
        <v>14000</v>
      </c>
      <c r="H27" s="59">
        <v>0</v>
      </c>
      <c r="I27" s="551">
        <f t="shared" si="2"/>
        <v>0</v>
      </c>
      <c r="J27" s="551">
        <f t="shared" si="0"/>
        <v>0</v>
      </c>
      <c r="K27" s="3"/>
      <c r="L27" s="19"/>
      <c r="M27" s="3"/>
      <c r="N27" s="3"/>
      <c r="O27" s="3"/>
      <c r="P27" s="3"/>
      <c r="Q27" s="3"/>
    </row>
    <row r="28" spans="1:17" s="12" customFormat="1" ht="30" x14ac:dyDescent="0.25">
      <c r="A28" s="21"/>
      <c r="B28" s="60" t="s">
        <v>607</v>
      </c>
      <c r="C28" s="61"/>
      <c r="D28" s="62" t="s">
        <v>597</v>
      </c>
      <c r="E28" s="63">
        <f>SUM(E29)</f>
        <v>0</v>
      </c>
      <c r="F28" s="63">
        <f>SUM(F29)</f>
        <v>0</v>
      </c>
      <c r="G28" s="63">
        <f>SUM(G29)</f>
        <v>284000</v>
      </c>
      <c r="H28" s="63">
        <f>SUM(H29)</f>
        <v>284000</v>
      </c>
      <c r="I28" s="551"/>
      <c r="J28" s="551"/>
      <c r="K28" s="3"/>
      <c r="L28" s="19"/>
      <c r="M28" s="3"/>
      <c r="N28" s="3"/>
      <c r="O28" s="3"/>
      <c r="P28" s="3"/>
      <c r="Q28" s="3"/>
    </row>
    <row r="29" spans="1:17" s="12" customFormat="1" ht="30" x14ac:dyDescent="0.25">
      <c r="A29" s="21"/>
      <c r="B29" s="57" t="s">
        <v>606</v>
      </c>
      <c r="C29" s="21"/>
      <c r="D29" s="58" t="s">
        <v>597</v>
      </c>
      <c r="E29" s="59">
        <v>0</v>
      </c>
      <c r="F29" s="59">
        <v>0</v>
      </c>
      <c r="G29" s="59">
        <v>284000</v>
      </c>
      <c r="H29" s="59">
        <v>284000</v>
      </c>
      <c r="I29" s="551"/>
      <c r="J29" s="551"/>
      <c r="K29" s="3"/>
      <c r="L29" s="19"/>
      <c r="M29" s="3"/>
      <c r="N29" s="3"/>
      <c r="O29" s="3"/>
      <c r="P29" s="3"/>
      <c r="Q29" s="3"/>
    </row>
    <row r="30" spans="1:17" s="12" customFormat="1" x14ac:dyDescent="0.25">
      <c r="A30" s="21"/>
      <c r="B30" s="60" t="s">
        <v>31</v>
      </c>
      <c r="C30" s="61"/>
      <c r="D30" s="62" t="s">
        <v>32</v>
      </c>
      <c r="E30" s="63">
        <f>SUM(E31,E33)</f>
        <v>14448.23</v>
      </c>
      <c r="F30" s="63">
        <f>SUM(F31,F33)</f>
        <v>45699.34</v>
      </c>
      <c r="G30" s="63">
        <f>SUM(G31,G33)</f>
        <v>45699.34</v>
      </c>
      <c r="H30" s="63">
        <f t="shared" ref="H30" si="6">SUM(H31,H33)</f>
        <v>9965.23</v>
      </c>
      <c r="I30" s="551">
        <f t="shared" si="2"/>
        <v>21.80606984696059</v>
      </c>
      <c r="J30" s="551">
        <f t="shared" si="0"/>
        <v>21.80606984696059</v>
      </c>
      <c r="K30" s="3"/>
      <c r="L30" s="19"/>
      <c r="M30" s="3"/>
      <c r="N30" s="3"/>
      <c r="O30" s="3"/>
      <c r="P30" s="3"/>
      <c r="Q30" s="3"/>
    </row>
    <row r="31" spans="1:17" s="12" customFormat="1" x14ac:dyDescent="0.25">
      <c r="A31" s="21"/>
      <c r="B31" s="60" t="s">
        <v>33</v>
      </c>
      <c r="C31" s="61"/>
      <c r="D31" s="62" t="s">
        <v>34</v>
      </c>
      <c r="E31" s="63">
        <f>SUM(E32)</f>
        <v>14448.23</v>
      </c>
      <c r="F31" s="63">
        <f>SUM(F32)</f>
        <v>45699.34</v>
      </c>
      <c r="G31" s="63">
        <f>SUM(G32)</f>
        <v>45699.34</v>
      </c>
      <c r="H31" s="63">
        <f t="shared" ref="H31" si="7">SUM(H32)</f>
        <v>9965.23</v>
      </c>
      <c r="I31" s="551">
        <f t="shared" si="2"/>
        <v>21.80606984696059</v>
      </c>
      <c r="J31" s="551">
        <f t="shared" si="0"/>
        <v>21.80606984696059</v>
      </c>
      <c r="K31" s="3"/>
      <c r="L31" s="19"/>
      <c r="M31" s="3"/>
      <c r="N31" s="3"/>
      <c r="O31" s="3"/>
      <c r="P31" s="3"/>
      <c r="Q31" s="3"/>
    </row>
    <row r="32" spans="1:17" s="52" customFormat="1" x14ac:dyDescent="0.25">
      <c r="A32" s="47"/>
      <c r="B32" s="64" t="s">
        <v>460</v>
      </c>
      <c r="C32" s="47"/>
      <c r="D32" s="65" t="s">
        <v>34</v>
      </c>
      <c r="E32" s="66">
        <v>14448.23</v>
      </c>
      <c r="F32" s="66">
        <v>45699.34</v>
      </c>
      <c r="G32" s="66">
        <v>45699.34</v>
      </c>
      <c r="H32" s="66">
        <v>9965.23</v>
      </c>
      <c r="I32" s="551">
        <f t="shared" si="2"/>
        <v>21.80606984696059</v>
      </c>
      <c r="J32" s="551">
        <f t="shared" si="0"/>
        <v>21.80606984696059</v>
      </c>
      <c r="K32" s="51"/>
      <c r="L32" s="51"/>
      <c r="M32" s="51"/>
      <c r="N32" s="51"/>
      <c r="O32" s="51"/>
      <c r="P32" s="51"/>
      <c r="Q32" s="51"/>
    </row>
    <row r="33" spans="1:17" s="12" customFormat="1" x14ac:dyDescent="0.25">
      <c r="A33" s="21"/>
      <c r="B33" s="60" t="s">
        <v>35</v>
      </c>
      <c r="C33" s="61"/>
      <c r="D33" s="62" t="s">
        <v>36</v>
      </c>
      <c r="E33" s="63"/>
      <c r="F33" s="63"/>
      <c r="G33" s="63"/>
      <c r="H33" s="63"/>
      <c r="I33" s="551" t="e">
        <f t="shared" si="2"/>
        <v>#DIV/0!</v>
      </c>
      <c r="J33" s="551" t="e">
        <f t="shared" si="0"/>
        <v>#DIV/0!</v>
      </c>
      <c r="K33" s="3"/>
      <c r="L33" s="19"/>
      <c r="M33" s="3"/>
      <c r="N33" s="3"/>
      <c r="O33" s="3"/>
      <c r="P33" s="3"/>
      <c r="Q33" s="3"/>
    </row>
    <row r="34" spans="1:17" s="68" customFormat="1" x14ac:dyDescent="0.25">
      <c r="A34" s="61"/>
      <c r="B34" s="60" t="s">
        <v>37</v>
      </c>
      <c r="C34" s="61"/>
      <c r="D34" s="62" t="s">
        <v>38</v>
      </c>
      <c r="E34" s="63">
        <f>E35</f>
        <v>0</v>
      </c>
      <c r="F34" s="63">
        <f>F35</f>
        <v>0</v>
      </c>
      <c r="G34" s="63">
        <f>G35</f>
        <v>0</v>
      </c>
      <c r="H34" s="63">
        <f>H35</f>
        <v>0</v>
      </c>
      <c r="I34" s="551" t="e">
        <f t="shared" si="2"/>
        <v>#DIV/0!</v>
      </c>
      <c r="J34" s="551" t="e">
        <f t="shared" si="0"/>
        <v>#DIV/0!</v>
      </c>
      <c r="K34" s="67"/>
      <c r="L34" s="67"/>
      <c r="M34" s="67"/>
      <c r="N34" s="67"/>
      <c r="O34" s="67"/>
      <c r="P34" s="67"/>
      <c r="Q34" s="67"/>
    </row>
    <row r="35" spans="1:17" s="12" customFormat="1" x14ac:dyDescent="0.25">
      <c r="A35" s="21"/>
      <c r="B35" s="60" t="s">
        <v>39</v>
      </c>
      <c r="C35" s="61"/>
      <c r="D35" s="62" t="s">
        <v>40</v>
      </c>
      <c r="E35" s="63"/>
      <c r="F35" s="63"/>
      <c r="G35" s="63"/>
      <c r="H35" s="63"/>
      <c r="I35" s="551" t="e">
        <f t="shared" si="2"/>
        <v>#DIV/0!</v>
      </c>
      <c r="J35" s="551" t="e">
        <f t="shared" si="0"/>
        <v>#DIV/0!</v>
      </c>
      <c r="K35" s="3"/>
      <c r="L35" s="19"/>
      <c r="M35" s="3"/>
      <c r="N35" s="3"/>
      <c r="O35" s="3"/>
      <c r="P35" s="3"/>
      <c r="Q35" s="3"/>
    </row>
    <row r="36" spans="1:17" s="40" customFormat="1" x14ac:dyDescent="0.25">
      <c r="A36" s="34"/>
      <c r="B36" s="35"/>
      <c r="C36" s="36">
        <v>52</v>
      </c>
      <c r="D36" s="37" t="s">
        <v>41</v>
      </c>
      <c r="E36" s="38">
        <f>SUM(E16)</f>
        <v>15048.23</v>
      </c>
      <c r="F36" s="38">
        <f>SUM(F16)</f>
        <v>128013.95</v>
      </c>
      <c r="G36" s="38">
        <f>SUM(G16)</f>
        <v>472013.94999999995</v>
      </c>
      <c r="H36" s="38">
        <f>SUM(H16)</f>
        <v>293965.23</v>
      </c>
      <c r="I36" s="589">
        <f t="shared" si="2"/>
        <v>229.63530927684053</v>
      </c>
      <c r="J36" s="589">
        <f t="shared" si="0"/>
        <v>62.278928408789611</v>
      </c>
      <c r="K36" s="69"/>
      <c r="L36" s="39"/>
      <c r="M36" s="39"/>
      <c r="N36" s="39"/>
      <c r="O36" s="39"/>
      <c r="P36" s="39"/>
      <c r="Q36" s="39"/>
    </row>
    <row r="37" spans="1:17" s="40" customFormat="1" x14ac:dyDescent="0.25">
      <c r="A37" s="34"/>
      <c r="B37" s="163">
        <v>64</v>
      </c>
      <c r="C37" s="70"/>
      <c r="D37" s="71" t="s">
        <v>42</v>
      </c>
      <c r="E37" s="92">
        <f>SUM(E38)</f>
        <v>0</v>
      </c>
      <c r="F37" s="92">
        <f>SUM(F38)</f>
        <v>0</v>
      </c>
      <c r="G37" s="92">
        <f>SUM(G38)</f>
        <v>0</v>
      </c>
      <c r="H37" s="92">
        <f>SUM(H38)</f>
        <v>0</v>
      </c>
      <c r="I37" s="575" t="e">
        <f t="shared" si="2"/>
        <v>#DIV/0!</v>
      </c>
      <c r="J37" s="575" t="e">
        <f t="shared" si="0"/>
        <v>#DIV/0!</v>
      </c>
      <c r="K37" s="69"/>
      <c r="L37" s="39"/>
      <c r="M37" s="39"/>
      <c r="N37" s="39"/>
      <c r="O37" s="39"/>
      <c r="P37" s="39"/>
      <c r="Q37" s="39"/>
    </row>
    <row r="38" spans="1:17" s="40" customFormat="1" x14ac:dyDescent="0.25">
      <c r="A38" s="34"/>
      <c r="B38" s="165">
        <v>641</v>
      </c>
      <c r="C38" s="72"/>
      <c r="D38" s="73" t="s">
        <v>43</v>
      </c>
      <c r="E38" s="93">
        <f>SUM(E39:E39)</f>
        <v>0</v>
      </c>
      <c r="F38" s="93">
        <f>SUM(F39:F39)</f>
        <v>0</v>
      </c>
      <c r="G38" s="93">
        <f>SUM(G39:G39)</f>
        <v>0</v>
      </c>
      <c r="H38" s="93">
        <f>SUM(H39:H39)</f>
        <v>0</v>
      </c>
      <c r="I38" s="551" t="e">
        <f t="shared" si="2"/>
        <v>#DIV/0!</v>
      </c>
      <c r="J38" s="551" t="e">
        <f t="shared" si="0"/>
        <v>#DIV/0!</v>
      </c>
      <c r="K38" s="69"/>
      <c r="L38" s="39"/>
      <c r="M38" s="39"/>
      <c r="N38" s="39"/>
      <c r="O38" s="39"/>
      <c r="P38" s="39"/>
      <c r="Q38" s="39"/>
    </row>
    <row r="39" spans="1:17" s="40" customFormat="1" x14ac:dyDescent="0.25">
      <c r="A39" s="34"/>
      <c r="B39" s="165">
        <v>6419</v>
      </c>
      <c r="C39" s="72"/>
      <c r="D39" s="73" t="s">
        <v>44</v>
      </c>
      <c r="E39" s="93"/>
      <c r="F39" s="93"/>
      <c r="G39" s="93"/>
      <c r="H39" s="93"/>
      <c r="I39" s="551" t="e">
        <f t="shared" si="2"/>
        <v>#DIV/0!</v>
      </c>
      <c r="J39" s="551" t="e">
        <f t="shared" si="0"/>
        <v>#DIV/0!</v>
      </c>
      <c r="K39" s="69"/>
      <c r="L39" s="39"/>
      <c r="M39" s="39"/>
      <c r="N39" s="39"/>
      <c r="O39" s="39"/>
      <c r="P39" s="39"/>
      <c r="Q39" s="39"/>
    </row>
    <row r="40" spans="1:17" s="12" customFormat="1" ht="30" x14ac:dyDescent="0.25">
      <c r="A40" s="41"/>
      <c r="B40" s="76">
        <v>65</v>
      </c>
      <c r="C40" s="77"/>
      <c r="D40" s="78" t="s">
        <v>45</v>
      </c>
      <c r="E40" s="42">
        <f t="shared" ref="E40:H41" si="8">SUM(E41)</f>
        <v>27405.34</v>
      </c>
      <c r="F40" s="42">
        <f t="shared" si="8"/>
        <v>47500</v>
      </c>
      <c r="G40" s="42">
        <f t="shared" si="8"/>
        <v>47500</v>
      </c>
      <c r="H40" s="42">
        <f t="shared" si="8"/>
        <v>23644.07</v>
      </c>
      <c r="I40" s="575">
        <f t="shared" si="2"/>
        <v>49.77698947368421</v>
      </c>
      <c r="J40" s="575">
        <f t="shared" si="0"/>
        <v>49.77698947368421</v>
      </c>
      <c r="K40" s="3"/>
      <c r="L40" s="3"/>
      <c r="M40" s="3"/>
      <c r="N40" s="3"/>
      <c r="O40" s="3"/>
      <c r="P40" s="3"/>
      <c r="Q40" s="3"/>
    </row>
    <row r="41" spans="1:17" s="12" customFormat="1" x14ac:dyDescent="0.25">
      <c r="A41" s="41"/>
      <c r="B41" s="79">
        <v>652</v>
      </c>
      <c r="C41" s="80"/>
      <c r="D41" s="81" t="s">
        <v>46</v>
      </c>
      <c r="E41" s="56">
        <f>SUM(E42)</f>
        <v>27405.34</v>
      </c>
      <c r="F41" s="56">
        <f>SUM(F42)</f>
        <v>47500</v>
      </c>
      <c r="G41" s="56">
        <f>SUM(G42)</f>
        <v>47500</v>
      </c>
      <c r="H41" s="56">
        <f t="shared" si="8"/>
        <v>23644.07</v>
      </c>
      <c r="I41" s="551">
        <f t="shared" si="2"/>
        <v>49.77698947368421</v>
      </c>
      <c r="J41" s="551">
        <f t="shared" si="0"/>
        <v>49.77698947368421</v>
      </c>
      <c r="K41" s="3"/>
      <c r="L41" s="3"/>
      <c r="M41" s="3"/>
      <c r="N41" s="3"/>
      <c r="O41" s="3"/>
      <c r="P41" s="3"/>
      <c r="Q41" s="3"/>
    </row>
    <row r="42" spans="1:17" s="12" customFormat="1" x14ac:dyDescent="0.25">
      <c r="A42" s="41"/>
      <c r="B42" s="185">
        <v>6526</v>
      </c>
      <c r="C42" s="512"/>
      <c r="D42" s="513" t="s">
        <v>47</v>
      </c>
      <c r="E42" s="63">
        <f>SUM(E43:E45)</f>
        <v>27405.34</v>
      </c>
      <c r="F42" s="63">
        <f>SUM(F43:F45)</f>
        <v>47500</v>
      </c>
      <c r="G42" s="63">
        <f>SUM(G43:G45)</f>
        <v>47500</v>
      </c>
      <c r="H42" s="63">
        <f>SUM(H43:H45)</f>
        <v>23644.07</v>
      </c>
      <c r="I42" s="551">
        <f t="shared" si="2"/>
        <v>49.77698947368421</v>
      </c>
      <c r="J42" s="551">
        <f t="shared" si="0"/>
        <v>49.77698947368421</v>
      </c>
      <c r="K42" s="3"/>
      <c r="L42" s="3"/>
      <c r="M42" s="3"/>
      <c r="N42" s="3"/>
      <c r="O42" s="3"/>
      <c r="P42" s="3"/>
      <c r="Q42" s="3"/>
    </row>
    <row r="43" spans="1:17" s="12" customFormat="1" x14ac:dyDescent="0.25">
      <c r="A43" s="41"/>
      <c r="B43" s="82">
        <v>65264</v>
      </c>
      <c r="C43" s="83"/>
      <c r="D43" s="84" t="s">
        <v>453</v>
      </c>
      <c r="E43" s="50">
        <v>27405.34</v>
      </c>
      <c r="F43" s="50">
        <v>44000</v>
      </c>
      <c r="G43" s="50">
        <v>14000</v>
      </c>
      <c r="H43" s="50">
        <v>0</v>
      </c>
      <c r="I43" s="551">
        <f t="shared" si="2"/>
        <v>0</v>
      </c>
      <c r="J43" s="551">
        <f t="shared" si="0"/>
        <v>0</v>
      </c>
      <c r="K43" s="3"/>
      <c r="L43" s="3"/>
      <c r="M43" s="3"/>
      <c r="N43" s="3"/>
      <c r="O43" s="3"/>
      <c r="P43" s="3"/>
      <c r="Q43" s="3"/>
    </row>
    <row r="44" spans="1:17" s="12" customFormat="1" x14ac:dyDescent="0.25">
      <c r="A44" s="41"/>
      <c r="B44" s="82">
        <v>65265</v>
      </c>
      <c r="C44" s="83"/>
      <c r="D44" s="84" t="s">
        <v>613</v>
      </c>
      <c r="E44" s="50"/>
      <c r="F44" s="50"/>
      <c r="G44" s="50">
        <v>30000</v>
      </c>
      <c r="H44" s="50">
        <v>23644.07</v>
      </c>
      <c r="I44" s="551"/>
      <c r="J44" s="551"/>
      <c r="K44" s="3"/>
      <c r="L44" s="3"/>
      <c r="M44" s="3"/>
      <c r="N44" s="3"/>
      <c r="O44" s="3"/>
      <c r="P44" s="3"/>
      <c r="Q44" s="3"/>
    </row>
    <row r="45" spans="1:17" s="20" customFormat="1" x14ac:dyDescent="0.25">
      <c r="A45" s="21"/>
      <c r="B45" s="82">
        <v>65269</v>
      </c>
      <c r="C45" s="83"/>
      <c r="D45" s="84" t="s">
        <v>455</v>
      </c>
      <c r="E45" s="59">
        <v>0</v>
      </c>
      <c r="F45" s="59">
        <v>3500</v>
      </c>
      <c r="G45" s="59">
        <v>3500</v>
      </c>
      <c r="H45" s="59">
        <v>0</v>
      </c>
      <c r="I45" s="551">
        <f t="shared" si="2"/>
        <v>0</v>
      </c>
      <c r="J45" s="551">
        <f t="shared" si="0"/>
        <v>0</v>
      </c>
      <c r="K45" s="19"/>
      <c r="L45" s="19"/>
      <c r="M45" s="19"/>
      <c r="N45" s="19"/>
      <c r="O45" s="19"/>
      <c r="P45" s="19"/>
      <c r="Q45" s="19"/>
    </row>
    <row r="46" spans="1:17" s="20" customFormat="1" ht="30" x14ac:dyDescent="0.25">
      <c r="A46" s="21"/>
      <c r="B46" s="22">
        <v>67</v>
      </c>
      <c r="C46" s="23"/>
      <c r="D46" s="24" t="s">
        <v>8</v>
      </c>
      <c r="E46" s="25">
        <f>SUM(E47,E50)</f>
        <v>1973039.46</v>
      </c>
      <c r="F46" s="25">
        <f>SUM(F47,F50)</f>
        <v>3899096.66</v>
      </c>
      <c r="G46" s="25">
        <f>SUM(G47,G50)</f>
        <v>3899096.66</v>
      </c>
      <c r="H46" s="25">
        <f t="shared" ref="H46" si="9">SUM(H47,H50)</f>
        <v>2103137.27</v>
      </c>
      <c r="I46" s="575">
        <f t="shared" si="2"/>
        <v>53.939090343043716</v>
      </c>
      <c r="J46" s="575">
        <f t="shared" si="0"/>
        <v>53.939090343043716</v>
      </c>
      <c r="K46" s="19"/>
      <c r="L46" s="19"/>
      <c r="M46" s="19"/>
      <c r="N46" s="19"/>
      <c r="O46" s="19"/>
      <c r="P46" s="19"/>
      <c r="Q46" s="19"/>
    </row>
    <row r="47" spans="1:17" s="20" customFormat="1" ht="30" hidden="1" x14ac:dyDescent="0.25">
      <c r="A47" s="21"/>
      <c r="B47" s="26" t="s">
        <v>9</v>
      </c>
      <c r="C47" s="27"/>
      <c r="D47" s="28" t="s">
        <v>10</v>
      </c>
      <c r="E47" s="29">
        <f>SUM(E48:E49)</f>
        <v>0</v>
      </c>
      <c r="F47" s="29">
        <f>SUM(F48:F49)</f>
        <v>0</v>
      </c>
      <c r="G47" s="29">
        <f>SUM(G48:G49)</f>
        <v>0</v>
      </c>
      <c r="H47" s="29">
        <f t="shared" ref="H47" si="10">SUM(H48:H49)</f>
        <v>0</v>
      </c>
      <c r="I47" s="551" t="e">
        <f t="shared" si="2"/>
        <v>#DIV/0!</v>
      </c>
      <c r="J47" s="551" t="e">
        <f t="shared" si="0"/>
        <v>#DIV/0!</v>
      </c>
      <c r="K47" s="19"/>
      <c r="L47" s="19"/>
      <c r="M47" s="19"/>
      <c r="N47" s="19"/>
      <c r="O47" s="19"/>
      <c r="P47" s="19"/>
      <c r="Q47" s="19"/>
    </row>
    <row r="48" spans="1:17" s="20" customFormat="1" hidden="1" x14ac:dyDescent="0.25">
      <c r="A48" s="21"/>
      <c r="B48" s="30" t="s">
        <v>11</v>
      </c>
      <c r="C48" s="31"/>
      <c r="D48" s="32" t="s">
        <v>12</v>
      </c>
      <c r="E48" s="33">
        <v>0</v>
      </c>
      <c r="F48" s="33">
        <v>0</v>
      </c>
      <c r="G48" s="33">
        <v>0</v>
      </c>
      <c r="H48" s="33">
        <v>0</v>
      </c>
      <c r="I48" s="551" t="e">
        <f t="shared" si="2"/>
        <v>#DIV/0!</v>
      </c>
      <c r="J48" s="551" t="e">
        <f t="shared" si="0"/>
        <v>#DIV/0!</v>
      </c>
      <c r="K48" s="19"/>
      <c r="L48" s="19"/>
      <c r="M48" s="19"/>
      <c r="N48" s="19"/>
      <c r="O48" s="19"/>
      <c r="P48" s="19"/>
      <c r="Q48" s="19"/>
    </row>
    <row r="49" spans="1:17" s="20" customFormat="1" hidden="1" x14ac:dyDescent="0.25">
      <c r="A49" s="21"/>
      <c r="B49" s="30" t="s">
        <v>13</v>
      </c>
      <c r="C49" s="31"/>
      <c r="D49" s="32" t="s">
        <v>14</v>
      </c>
      <c r="E49" s="33">
        <v>0</v>
      </c>
      <c r="F49" s="33">
        <v>0</v>
      </c>
      <c r="G49" s="33">
        <v>0</v>
      </c>
      <c r="H49" s="33">
        <v>0</v>
      </c>
      <c r="I49" s="551" t="e">
        <f t="shared" si="2"/>
        <v>#DIV/0!</v>
      </c>
      <c r="J49" s="551" t="e">
        <f t="shared" si="0"/>
        <v>#DIV/0!</v>
      </c>
      <c r="K49" s="19"/>
      <c r="L49" s="19"/>
      <c r="M49" s="19"/>
      <c r="N49" s="19"/>
      <c r="O49" s="19"/>
      <c r="P49" s="19"/>
      <c r="Q49" s="19"/>
    </row>
    <row r="50" spans="1:17" s="20" customFormat="1" x14ac:dyDescent="0.25">
      <c r="A50" s="21"/>
      <c r="B50" s="60" t="s">
        <v>48</v>
      </c>
      <c r="C50" s="85"/>
      <c r="D50" s="62" t="s">
        <v>49</v>
      </c>
      <c r="E50" s="63">
        <f t="shared" ref="E50:G51" si="11">SUM(E51)</f>
        <v>1973039.46</v>
      </c>
      <c r="F50" s="63">
        <f t="shared" si="11"/>
        <v>3899096.66</v>
      </c>
      <c r="G50" s="63">
        <f t="shared" si="11"/>
        <v>3899096.66</v>
      </c>
      <c r="H50" s="63">
        <f t="shared" ref="H50:H51" si="12">SUM(H51)</f>
        <v>2103137.27</v>
      </c>
      <c r="I50" s="551">
        <f t="shared" si="2"/>
        <v>53.939090343043716</v>
      </c>
      <c r="J50" s="551">
        <f t="shared" si="0"/>
        <v>53.939090343043716</v>
      </c>
      <c r="K50" s="19"/>
      <c r="L50" s="19"/>
      <c r="M50" s="19"/>
      <c r="N50" s="19"/>
      <c r="O50" s="19"/>
      <c r="P50" s="19"/>
      <c r="Q50" s="19"/>
    </row>
    <row r="51" spans="1:17" s="20" customFormat="1" x14ac:dyDescent="0.25">
      <c r="A51" s="21"/>
      <c r="B51" s="60" t="s">
        <v>50</v>
      </c>
      <c r="C51" s="85"/>
      <c r="D51" s="62" t="s">
        <v>49</v>
      </c>
      <c r="E51" s="63">
        <f t="shared" si="11"/>
        <v>1973039.46</v>
      </c>
      <c r="F51" s="63">
        <f t="shared" si="11"/>
        <v>3899096.66</v>
      </c>
      <c r="G51" s="63">
        <f t="shared" si="11"/>
        <v>3899096.66</v>
      </c>
      <c r="H51" s="63">
        <f t="shared" si="12"/>
        <v>2103137.27</v>
      </c>
      <c r="I51" s="551">
        <f t="shared" ref="I51:I83" si="13">H51/F51*100</f>
        <v>53.939090343043716</v>
      </c>
      <c r="J51" s="551">
        <f t="shared" si="0"/>
        <v>53.939090343043716</v>
      </c>
      <c r="K51" s="19"/>
      <c r="L51" s="19"/>
      <c r="M51" s="19"/>
      <c r="N51" s="19"/>
      <c r="O51" s="19"/>
      <c r="P51" s="19"/>
      <c r="Q51" s="19"/>
    </row>
    <row r="52" spans="1:17" s="20" customFormat="1" x14ac:dyDescent="0.25">
      <c r="A52" s="21"/>
      <c r="B52" s="57" t="s">
        <v>461</v>
      </c>
      <c r="C52" s="86"/>
      <c r="D52" s="58" t="s">
        <v>49</v>
      </c>
      <c r="E52" s="59">
        <v>1973039.46</v>
      </c>
      <c r="F52" s="59">
        <v>3899096.66</v>
      </c>
      <c r="G52" s="59">
        <v>3899096.66</v>
      </c>
      <c r="H52" s="59">
        <v>2103137.27</v>
      </c>
      <c r="I52" s="551">
        <f t="shared" si="13"/>
        <v>53.939090343043716</v>
      </c>
      <c r="J52" s="551">
        <f t="shared" si="0"/>
        <v>53.939090343043716</v>
      </c>
      <c r="K52" s="19"/>
      <c r="L52" s="19"/>
      <c r="M52" s="19"/>
      <c r="N52" s="19"/>
      <c r="O52" s="19"/>
      <c r="P52" s="19"/>
      <c r="Q52" s="19"/>
    </row>
    <row r="53" spans="1:17" s="20" customFormat="1" x14ac:dyDescent="0.25">
      <c r="A53" s="21"/>
      <c r="B53" s="87" t="s">
        <v>51</v>
      </c>
      <c r="C53" s="88"/>
      <c r="D53" s="89" t="s">
        <v>52</v>
      </c>
      <c r="E53" s="25">
        <f t="shared" ref="E53:H55" si="14">SUM(E54)</f>
        <v>712.71</v>
      </c>
      <c r="F53" s="25">
        <f t="shared" si="14"/>
        <v>3000</v>
      </c>
      <c r="G53" s="25">
        <f t="shared" si="14"/>
        <v>3000</v>
      </c>
      <c r="H53" s="25">
        <f t="shared" si="14"/>
        <v>0</v>
      </c>
      <c r="I53" s="575">
        <f t="shared" si="13"/>
        <v>0</v>
      </c>
      <c r="J53" s="575">
        <f t="shared" si="0"/>
        <v>0</v>
      </c>
      <c r="K53" s="19"/>
      <c r="L53" s="19"/>
      <c r="M53" s="19"/>
      <c r="N53" s="19"/>
      <c r="O53" s="19"/>
      <c r="P53" s="19"/>
      <c r="Q53" s="19"/>
    </row>
    <row r="54" spans="1:17" s="20" customFormat="1" x14ac:dyDescent="0.25">
      <c r="A54" s="21"/>
      <c r="B54" s="60" t="s">
        <v>53</v>
      </c>
      <c r="C54" s="85"/>
      <c r="D54" s="90" t="s">
        <v>54</v>
      </c>
      <c r="E54" s="63">
        <f t="shared" ref="E54:G55" si="15">SUM(E55)</f>
        <v>712.71</v>
      </c>
      <c r="F54" s="63">
        <f t="shared" si="15"/>
        <v>3000</v>
      </c>
      <c r="G54" s="63">
        <f t="shared" si="15"/>
        <v>3000</v>
      </c>
      <c r="H54" s="63">
        <f t="shared" si="14"/>
        <v>0</v>
      </c>
      <c r="I54" s="551">
        <f t="shared" si="13"/>
        <v>0</v>
      </c>
      <c r="J54" s="551">
        <f t="shared" si="0"/>
        <v>0</v>
      </c>
      <c r="K54" s="19"/>
      <c r="L54" s="19"/>
      <c r="M54" s="19"/>
      <c r="N54" s="19"/>
      <c r="O54" s="19"/>
      <c r="P54" s="19"/>
      <c r="Q54" s="19"/>
    </row>
    <row r="55" spans="1:17" s="20" customFormat="1" x14ac:dyDescent="0.25">
      <c r="A55" s="21"/>
      <c r="B55" s="60" t="s">
        <v>55</v>
      </c>
      <c r="C55" s="85"/>
      <c r="D55" s="90" t="s">
        <v>54</v>
      </c>
      <c r="E55" s="63">
        <f t="shared" si="15"/>
        <v>712.71</v>
      </c>
      <c r="F55" s="63">
        <f t="shared" si="15"/>
        <v>3000</v>
      </c>
      <c r="G55" s="63">
        <f t="shared" si="15"/>
        <v>3000</v>
      </c>
      <c r="H55" s="63">
        <f t="shared" si="14"/>
        <v>0</v>
      </c>
      <c r="I55" s="551">
        <f t="shared" si="13"/>
        <v>0</v>
      </c>
      <c r="J55" s="551">
        <f t="shared" si="0"/>
        <v>0</v>
      </c>
      <c r="K55" s="19"/>
      <c r="L55" s="19"/>
      <c r="M55" s="19"/>
      <c r="N55" s="19"/>
      <c r="O55" s="19"/>
      <c r="P55" s="19"/>
      <c r="Q55" s="19"/>
    </row>
    <row r="56" spans="1:17" s="20" customFormat="1" x14ac:dyDescent="0.25">
      <c r="A56" s="21"/>
      <c r="B56" s="57" t="s">
        <v>462</v>
      </c>
      <c r="C56" s="86"/>
      <c r="D56" s="91" t="s">
        <v>54</v>
      </c>
      <c r="E56" s="59">
        <v>712.71</v>
      </c>
      <c r="F56" s="59">
        <v>3000</v>
      </c>
      <c r="G56" s="59">
        <v>3000</v>
      </c>
      <c r="H56" s="59">
        <v>0</v>
      </c>
      <c r="I56" s="551">
        <f t="shared" si="13"/>
        <v>0</v>
      </c>
      <c r="J56" s="551">
        <f t="shared" si="0"/>
        <v>0</v>
      </c>
      <c r="K56" s="19"/>
      <c r="L56" s="19"/>
      <c r="M56" s="19"/>
      <c r="N56" s="19"/>
      <c r="O56" s="19"/>
      <c r="P56" s="19"/>
      <c r="Q56" s="19"/>
    </row>
    <row r="57" spans="1:17" s="40" customFormat="1" x14ac:dyDescent="0.25">
      <c r="A57" s="34"/>
      <c r="B57" s="35"/>
      <c r="C57" s="36">
        <v>43</v>
      </c>
      <c r="D57" s="37" t="s">
        <v>56</v>
      </c>
      <c r="E57" s="38">
        <f>SUM(E37,E40,E46,E53)</f>
        <v>2001157.51</v>
      </c>
      <c r="F57" s="38">
        <f>SUM(F37,F40,F46,F53)</f>
        <v>3949596.66</v>
      </c>
      <c r="G57" s="38">
        <f>SUM(G37,G40,G46,G53)</f>
        <v>3949596.66</v>
      </c>
      <c r="H57" s="38">
        <f>SUM(H37,H40,H46,H53)</f>
        <v>2126781.34</v>
      </c>
      <c r="I57" s="589">
        <f t="shared" si="13"/>
        <v>53.848064070420797</v>
      </c>
      <c r="J57" s="589">
        <f t="shared" si="0"/>
        <v>53.848064070420797</v>
      </c>
      <c r="K57" s="39"/>
      <c r="L57" s="39"/>
      <c r="M57" s="39"/>
      <c r="N57" s="39"/>
      <c r="O57" s="39"/>
      <c r="P57" s="39"/>
      <c r="Q57" s="39"/>
    </row>
    <row r="58" spans="1:17" s="68" customFormat="1" x14ac:dyDescent="0.25">
      <c r="A58" s="61"/>
      <c r="B58" s="163">
        <v>64</v>
      </c>
      <c r="C58" s="70"/>
      <c r="D58" s="71" t="s">
        <v>42</v>
      </c>
      <c r="E58" s="92">
        <f>SUM(E59)</f>
        <v>34.92</v>
      </c>
      <c r="F58" s="92">
        <f>SUM(F59)</f>
        <v>200</v>
      </c>
      <c r="G58" s="92">
        <f>SUM(G59)</f>
        <v>200</v>
      </c>
      <c r="H58" s="92">
        <f t="shared" ref="H58" si="16">SUM(H59)</f>
        <v>2.74</v>
      </c>
      <c r="I58" s="575">
        <f t="shared" si="13"/>
        <v>1.37</v>
      </c>
      <c r="J58" s="575">
        <f t="shared" si="0"/>
        <v>1.37</v>
      </c>
      <c r="K58" s="67"/>
      <c r="L58" s="67"/>
      <c r="M58" s="67"/>
      <c r="N58" s="67"/>
      <c r="O58" s="67"/>
      <c r="P58" s="67"/>
      <c r="Q58" s="67"/>
    </row>
    <row r="59" spans="1:17" s="68" customFormat="1" x14ac:dyDescent="0.25">
      <c r="A59" s="61"/>
      <c r="B59" s="165">
        <v>641</v>
      </c>
      <c r="C59" s="72"/>
      <c r="D59" s="73" t="s">
        <v>43</v>
      </c>
      <c r="E59" s="93">
        <f>SUM(E60,E62,E64,E65)</f>
        <v>34.92</v>
      </c>
      <c r="F59" s="93">
        <f>SUM(F60,F62,F64,F65)</f>
        <v>200</v>
      </c>
      <c r="G59" s="93">
        <f>SUM(G60,G62,G64,G65)</f>
        <v>200</v>
      </c>
      <c r="H59" s="93">
        <f>SUM(H60,H62,H64,H65)</f>
        <v>2.74</v>
      </c>
      <c r="I59" s="551">
        <f t="shared" si="13"/>
        <v>1.37</v>
      </c>
      <c r="J59" s="551">
        <f t="shared" si="0"/>
        <v>1.37</v>
      </c>
      <c r="K59" s="67"/>
      <c r="L59" s="67"/>
      <c r="M59" s="67"/>
      <c r="N59" s="67"/>
      <c r="O59" s="67"/>
      <c r="P59" s="67"/>
      <c r="Q59" s="67"/>
    </row>
    <row r="60" spans="1:17" s="68" customFormat="1" x14ac:dyDescent="0.25">
      <c r="A60" s="61"/>
      <c r="B60" s="515">
        <v>6413</v>
      </c>
      <c r="C60" s="516"/>
      <c r="D60" s="73" t="s">
        <v>254</v>
      </c>
      <c r="E60" s="93">
        <f>SUM(E61)</f>
        <v>18.170000000000002</v>
      </c>
      <c r="F60" s="93">
        <f>SUM(F61)</f>
        <v>200</v>
      </c>
      <c r="G60" s="93">
        <f>SUM(G61)</f>
        <v>200</v>
      </c>
      <c r="H60" s="93">
        <f t="shared" ref="H60" si="17">SUM(H61)</f>
        <v>2.74</v>
      </c>
      <c r="I60" s="551">
        <f t="shared" si="13"/>
        <v>1.37</v>
      </c>
      <c r="J60" s="551">
        <f t="shared" si="0"/>
        <v>1.37</v>
      </c>
      <c r="K60" s="67"/>
      <c r="L60" s="67"/>
      <c r="M60" s="67"/>
      <c r="N60" s="67"/>
      <c r="O60" s="67"/>
      <c r="P60" s="67"/>
      <c r="Q60" s="67"/>
    </row>
    <row r="61" spans="1:17" s="52" customFormat="1" x14ac:dyDescent="0.25">
      <c r="A61" s="47"/>
      <c r="B61" s="514">
        <v>64132</v>
      </c>
      <c r="C61" s="94"/>
      <c r="D61" s="49" t="s">
        <v>254</v>
      </c>
      <c r="E61" s="50">
        <v>18.170000000000002</v>
      </c>
      <c r="F61" s="50">
        <v>200</v>
      </c>
      <c r="G61" s="50">
        <v>200</v>
      </c>
      <c r="H61" s="50">
        <v>2.74</v>
      </c>
      <c r="I61" s="551">
        <f t="shared" si="13"/>
        <v>1.37</v>
      </c>
      <c r="J61" s="551">
        <f t="shared" si="0"/>
        <v>1.37</v>
      </c>
      <c r="K61" s="51"/>
      <c r="L61" s="51"/>
      <c r="M61" s="51"/>
      <c r="N61" s="51"/>
      <c r="O61" s="51"/>
      <c r="P61" s="51"/>
      <c r="Q61" s="51"/>
    </row>
    <row r="62" spans="1:17" s="52" customFormat="1" x14ac:dyDescent="0.25">
      <c r="A62" s="47"/>
      <c r="B62" s="515">
        <v>6414</v>
      </c>
      <c r="C62" s="516"/>
      <c r="D62" s="73" t="s">
        <v>550</v>
      </c>
      <c r="E62" s="93">
        <f>SUM(E63)</f>
        <v>16.75</v>
      </c>
      <c r="F62" s="93">
        <f>SUM(F63)</f>
        <v>0</v>
      </c>
      <c r="G62" s="93">
        <f>SUM(G63)</f>
        <v>0</v>
      </c>
      <c r="H62" s="93">
        <f>SUM(H63)</f>
        <v>0</v>
      </c>
      <c r="I62" s="551" t="e">
        <f t="shared" si="13"/>
        <v>#DIV/0!</v>
      </c>
      <c r="J62" s="551" t="e">
        <f t="shared" si="0"/>
        <v>#DIV/0!</v>
      </c>
      <c r="K62" s="51"/>
      <c r="L62" s="51"/>
      <c r="M62" s="51"/>
      <c r="N62" s="51"/>
      <c r="O62" s="51"/>
      <c r="P62" s="51"/>
      <c r="Q62" s="51"/>
    </row>
    <row r="63" spans="1:17" s="52" customFormat="1" x14ac:dyDescent="0.25">
      <c r="A63" s="47"/>
      <c r="B63" s="514">
        <v>64143</v>
      </c>
      <c r="C63" s="94"/>
      <c r="D63" s="49" t="s">
        <v>550</v>
      </c>
      <c r="E63" s="50">
        <v>16.75</v>
      </c>
      <c r="F63" s="50"/>
      <c r="G63" s="50"/>
      <c r="H63" s="50">
        <v>0</v>
      </c>
      <c r="I63" s="551" t="e">
        <f t="shared" si="13"/>
        <v>#DIV/0!</v>
      </c>
      <c r="J63" s="551" t="e">
        <f t="shared" si="0"/>
        <v>#DIV/0!</v>
      </c>
      <c r="K63" s="51"/>
      <c r="L63" s="51"/>
      <c r="M63" s="51"/>
      <c r="N63" s="51"/>
      <c r="O63" s="51"/>
      <c r="P63" s="51"/>
      <c r="Q63" s="51"/>
    </row>
    <row r="64" spans="1:17" s="52" customFormat="1" x14ac:dyDescent="0.25">
      <c r="A64" s="47"/>
      <c r="B64" s="515">
        <v>6419</v>
      </c>
      <c r="C64" s="516"/>
      <c r="D64" s="73" t="s">
        <v>44</v>
      </c>
      <c r="E64" s="50"/>
      <c r="F64" s="50"/>
      <c r="G64" s="50"/>
      <c r="H64" s="50"/>
      <c r="I64" s="551" t="e">
        <f t="shared" si="13"/>
        <v>#DIV/0!</v>
      </c>
      <c r="J64" s="551" t="e">
        <f t="shared" si="0"/>
        <v>#DIV/0!</v>
      </c>
      <c r="K64" s="51"/>
      <c r="L64" s="51"/>
      <c r="M64" s="51"/>
      <c r="N64" s="51"/>
      <c r="O64" s="51"/>
      <c r="P64" s="51"/>
      <c r="Q64" s="51"/>
    </row>
    <row r="65" spans="1:17" s="52" customFormat="1" x14ac:dyDescent="0.25">
      <c r="A65" s="47"/>
      <c r="B65" s="515">
        <v>6429</v>
      </c>
      <c r="C65" s="516"/>
      <c r="D65" s="73" t="s">
        <v>57</v>
      </c>
      <c r="E65" s="95"/>
      <c r="F65" s="95"/>
      <c r="G65" s="95"/>
      <c r="H65" s="50"/>
      <c r="I65" s="551" t="e">
        <f t="shared" si="13"/>
        <v>#DIV/0!</v>
      </c>
      <c r="J65" s="551" t="e">
        <f t="shared" si="0"/>
        <v>#DIV/0!</v>
      </c>
      <c r="K65" s="51"/>
      <c r="L65" s="51"/>
      <c r="M65" s="51"/>
      <c r="N65" s="51"/>
      <c r="O65" s="51"/>
      <c r="P65" s="51"/>
      <c r="Q65" s="51"/>
    </row>
    <row r="66" spans="1:17" s="12" customFormat="1" ht="30" x14ac:dyDescent="0.25">
      <c r="A66" s="41"/>
      <c r="B66" s="22">
        <v>66</v>
      </c>
      <c r="C66" s="23"/>
      <c r="D66" s="24" t="s">
        <v>58</v>
      </c>
      <c r="E66" s="96">
        <f>SUM(E67)</f>
        <v>73917.929999999993</v>
      </c>
      <c r="F66" s="96">
        <f>SUM(F67)</f>
        <v>199083.29</v>
      </c>
      <c r="G66" s="96">
        <f>SUM(G67)</f>
        <v>199083.29</v>
      </c>
      <c r="H66" s="96">
        <f t="shared" ref="H66" si="18">SUM(H67)</f>
        <v>70068.47</v>
      </c>
      <c r="I66" s="575">
        <f t="shared" si="13"/>
        <v>35.195555588819133</v>
      </c>
      <c r="J66" s="575">
        <f t="shared" si="0"/>
        <v>35.195555588819133</v>
      </c>
      <c r="K66" s="3"/>
      <c r="L66" s="3"/>
      <c r="M66" s="3"/>
      <c r="N66" s="3"/>
      <c r="O66" s="3"/>
      <c r="P66" s="3"/>
      <c r="Q66" s="3"/>
    </row>
    <row r="67" spans="1:17" s="12" customFormat="1" x14ac:dyDescent="0.25">
      <c r="A67" s="41"/>
      <c r="B67" s="53" t="s">
        <v>59</v>
      </c>
      <c r="C67" s="54"/>
      <c r="D67" s="55" t="s">
        <v>60</v>
      </c>
      <c r="E67" s="97">
        <f>SUM(E68:E69)</f>
        <v>73917.929999999993</v>
      </c>
      <c r="F67" s="97">
        <f>SUM(F68:F69)</f>
        <v>199083.29</v>
      </c>
      <c r="G67" s="97">
        <f>SUM(G68:G69)</f>
        <v>199083.29</v>
      </c>
      <c r="H67" s="97">
        <f t="shared" ref="H67" si="19">SUM(H68:H69)</f>
        <v>70068.47</v>
      </c>
      <c r="I67" s="551">
        <f t="shared" si="13"/>
        <v>35.195555588819133</v>
      </c>
      <c r="J67" s="551">
        <f t="shared" si="0"/>
        <v>35.195555588819133</v>
      </c>
      <c r="K67" s="3"/>
      <c r="L67" s="3"/>
      <c r="M67" s="3"/>
      <c r="N67" s="3"/>
      <c r="O67" s="3"/>
      <c r="P67" s="3"/>
      <c r="Q67" s="3"/>
    </row>
    <row r="68" spans="1:17" s="12" customFormat="1" x14ac:dyDescent="0.25">
      <c r="A68" s="41"/>
      <c r="B68" s="60" t="s">
        <v>61</v>
      </c>
      <c r="C68" s="85"/>
      <c r="D68" s="62" t="s">
        <v>62</v>
      </c>
      <c r="E68" s="99"/>
      <c r="F68" s="99"/>
      <c r="G68" s="99"/>
      <c r="H68" s="99"/>
      <c r="I68" s="551" t="e">
        <f t="shared" si="13"/>
        <v>#DIV/0!</v>
      </c>
      <c r="J68" s="551" t="e">
        <f t="shared" si="0"/>
        <v>#DIV/0!</v>
      </c>
      <c r="K68" s="3"/>
      <c r="L68" s="3"/>
      <c r="M68" s="3"/>
      <c r="N68" s="3"/>
      <c r="O68" s="3"/>
      <c r="P68" s="3"/>
      <c r="Q68" s="3"/>
    </row>
    <row r="69" spans="1:17" s="12" customFormat="1" x14ac:dyDescent="0.25">
      <c r="A69" s="41"/>
      <c r="B69" s="60" t="s">
        <v>63</v>
      </c>
      <c r="C69" s="85"/>
      <c r="D69" s="62" t="s">
        <v>64</v>
      </c>
      <c r="E69" s="102">
        <f>SUM(E70)</f>
        <v>73917.929999999993</v>
      </c>
      <c r="F69" s="102">
        <f>SUM(F70)</f>
        <v>199083.29</v>
      </c>
      <c r="G69" s="102">
        <f>SUM(G70:G71)</f>
        <v>199083.29</v>
      </c>
      <c r="H69" s="102">
        <f>SUM(H70:H71)</f>
        <v>70068.47</v>
      </c>
      <c r="I69" s="551">
        <f t="shared" si="13"/>
        <v>35.195555588819133</v>
      </c>
      <c r="J69" s="551">
        <f t="shared" si="0"/>
        <v>35.195555588819133</v>
      </c>
      <c r="K69" s="3"/>
      <c r="L69" s="3"/>
      <c r="M69" s="3"/>
      <c r="N69" s="3"/>
      <c r="O69" s="3"/>
      <c r="P69" s="3"/>
      <c r="Q69" s="3"/>
    </row>
    <row r="70" spans="1:17" s="20" customFormat="1" x14ac:dyDescent="0.25">
      <c r="A70" s="21"/>
      <c r="B70" s="57" t="s">
        <v>463</v>
      </c>
      <c r="C70" s="86"/>
      <c r="D70" s="58" t="s">
        <v>64</v>
      </c>
      <c r="E70" s="517">
        <v>73917.929999999993</v>
      </c>
      <c r="F70" s="517">
        <v>199083.29</v>
      </c>
      <c r="G70" s="517">
        <v>199083.29</v>
      </c>
      <c r="H70" s="100">
        <v>70068.47</v>
      </c>
      <c r="I70" s="551">
        <f t="shared" si="13"/>
        <v>35.195555588819133</v>
      </c>
      <c r="J70" s="551">
        <f t="shared" si="0"/>
        <v>35.195555588819133</v>
      </c>
      <c r="K70" s="19"/>
      <c r="L70" s="796"/>
      <c r="M70" s="19"/>
      <c r="N70" s="19"/>
      <c r="O70" s="19"/>
      <c r="P70" s="19"/>
      <c r="Q70" s="19"/>
    </row>
    <row r="71" spans="1:17" s="20" customFormat="1" x14ac:dyDescent="0.25">
      <c r="A71" s="21"/>
      <c r="B71" s="57" t="s">
        <v>600</v>
      </c>
      <c r="C71" s="86"/>
      <c r="D71" s="58" t="s">
        <v>601</v>
      </c>
      <c r="E71" s="517"/>
      <c r="F71" s="517"/>
      <c r="G71" s="100">
        <v>0</v>
      </c>
      <c r="H71" s="100"/>
      <c r="I71" s="551"/>
      <c r="J71" s="551"/>
      <c r="K71" s="19"/>
      <c r="L71" s="19"/>
      <c r="M71" s="19"/>
      <c r="N71" s="19"/>
      <c r="O71" s="19"/>
      <c r="P71" s="19"/>
      <c r="Q71" s="19"/>
    </row>
    <row r="72" spans="1:17" s="68" customFormat="1" x14ac:dyDescent="0.25">
      <c r="A72" s="61"/>
      <c r="B72" s="87" t="s">
        <v>51</v>
      </c>
      <c r="C72" s="88"/>
      <c r="D72" s="89" t="s">
        <v>52</v>
      </c>
      <c r="E72" s="101">
        <f t="shared" ref="E72:H73" si="20">SUM(E73)</f>
        <v>0</v>
      </c>
      <c r="F72" s="101">
        <f t="shared" si="20"/>
        <v>0</v>
      </c>
      <c r="G72" s="101">
        <f t="shared" si="20"/>
        <v>0</v>
      </c>
      <c r="H72" s="101">
        <f t="shared" si="20"/>
        <v>0</v>
      </c>
      <c r="I72" s="575" t="e">
        <f t="shared" si="13"/>
        <v>#DIV/0!</v>
      </c>
      <c r="J72" s="575" t="e">
        <f t="shared" si="0"/>
        <v>#DIV/0!</v>
      </c>
      <c r="K72" s="67"/>
      <c r="L72" s="67"/>
      <c r="M72" s="67"/>
      <c r="N72" s="67"/>
      <c r="O72" s="67"/>
      <c r="P72" s="67"/>
      <c r="Q72" s="67"/>
    </row>
    <row r="73" spans="1:17" s="68" customFormat="1" x14ac:dyDescent="0.25">
      <c r="A73" s="61"/>
      <c r="B73" s="60" t="s">
        <v>53</v>
      </c>
      <c r="C73" s="85"/>
      <c r="D73" s="62" t="s">
        <v>54</v>
      </c>
      <c r="E73" s="102">
        <f t="shared" si="20"/>
        <v>0</v>
      </c>
      <c r="F73" s="102">
        <f t="shared" si="20"/>
        <v>0</v>
      </c>
      <c r="G73" s="102">
        <f t="shared" si="20"/>
        <v>0</v>
      </c>
      <c r="H73" s="102">
        <f t="shared" si="20"/>
        <v>0</v>
      </c>
      <c r="I73" s="551" t="e">
        <f t="shared" si="13"/>
        <v>#DIV/0!</v>
      </c>
      <c r="J73" s="551" t="e">
        <f t="shared" si="0"/>
        <v>#DIV/0!</v>
      </c>
      <c r="K73" s="67"/>
      <c r="L73" s="67"/>
      <c r="M73" s="67"/>
      <c r="N73" s="67"/>
      <c r="O73" s="67"/>
      <c r="P73" s="67"/>
      <c r="Q73" s="67"/>
    </row>
    <row r="74" spans="1:17" s="20" customFormat="1" x14ac:dyDescent="0.25">
      <c r="A74" s="21"/>
      <c r="B74" s="60" t="s">
        <v>55</v>
      </c>
      <c r="C74" s="85"/>
      <c r="D74" s="62" t="s">
        <v>54</v>
      </c>
      <c r="E74" s="102"/>
      <c r="F74" s="102"/>
      <c r="G74" s="102"/>
      <c r="H74" s="102"/>
      <c r="I74" s="552" t="e">
        <f t="shared" si="13"/>
        <v>#DIV/0!</v>
      </c>
      <c r="J74" s="552" t="e">
        <f t="shared" si="0"/>
        <v>#DIV/0!</v>
      </c>
      <c r="K74" s="19"/>
      <c r="L74" s="19"/>
      <c r="M74" s="19"/>
      <c r="N74" s="19"/>
      <c r="O74" s="19"/>
      <c r="P74" s="19"/>
      <c r="Q74" s="19"/>
    </row>
    <row r="75" spans="1:17" s="104" customFormat="1" x14ac:dyDescent="0.25">
      <c r="A75" s="34"/>
      <c r="B75" s="35"/>
      <c r="C75" s="36" t="s">
        <v>65</v>
      </c>
      <c r="D75" s="37" t="s">
        <v>66</v>
      </c>
      <c r="E75" s="38">
        <f>E58+E66+E72</f>
        <v>73952.849999999991</v>
      </c>
      <c r="F75" s="38">
        <f>F58+F66+F72</f>
        <v>199283.29</v>
      </c>
      <c r="G75" s="38">
        <f>G58+G66+G72</f>
        <v>199283.29</v>
      </c>
      <c r="H75" s="38">
        <f>H58+H66+H72</f>
        <v>70071.210000000006</v>
      </c>
      <c r="I75" s="589">
        <f t="shared" si="13"/>
        <v>35.161608381716306</v>
      </c>
      <c r="J75" s="589">
        <f t="shared" si="0"/>
        <v>35.161608381716306</v>
      </c>
      <c r="K75" s="103"/>
      <c r="L75" s="103"/>
      <c r="M75" s="103"/>
      <c r="N75" s="103"/>
      <c r="O75" s="103"/>
      <c r="P75" s="103"/>
      <c r="Q75" s="103"/>
    </row>
    <row r="76" spans="1:17" s="12" customFormat="1" ht="30" x14ac:dyDescent="0.25">
      <c r="A76" s="41"/>
      <c r="B76" s="22">
        <v>66</v>
      </c>
      <c r="C76" s="23"/>
      <c r="D76" s="24" t="s">
        <v>58</v>
      </c>
      <c r="E76" s="92">
        <f>E77</f>
        <v>3807.25</v>
      </c>
      <c r="F76" s="92">
        <f>F77</f>
        <v>50500</v>
      </c>
      <c r="G76" s="92">
        <f>G77</f>
        <v>50500</v>
      </c>
      <c r="H76" s="92">
        <f t="shared" ref="H76" si="21">H77</f>
        <v>0</v>
      </c>
      <c r="I76" s="575">
        <f t="shared" si="13"/>
        <v>0</v>
      </c>
      <c r="J76" s="575">
        <f t="shared" si="0"/>
        <v>0</v>
      </c>
      <c r="K76" s="3"/>
      <c r="L76" s="3"/>
      <c r="M76" s="3"/>
      <c r="N76" s="3"/>
      <c r="O76" s="3"/>
      <c r="P76" s="3"/>
      <c r="Q76" s="3"/>
    </row>
    <row r="77" spans="1:17" s="108" customFormat="1" ht="30" x14ac:dyDescent="0.25">
      <c r="A77" s="105"/>
      <c r="B77" s="106">
        <v>663</v>
      </c>
      <c r="C77" s="107"/>
      <c r="D77" s="45" t="s">
        <v>67</v>
      </c>
      <c r="E77" s="46">
        <f>SUM(E78,E80)</f>
        <v>3807.25</v>
      </c>
      <c r="F77" s="46">
        <f>SUM(F78,F80)</f>
        <v>50500</v>
      </c>
      <c r="G77" s="46">
        <f>SUM(G78,G80)</f>
        <v>50500</v>
      </c>
      <c r="H77" s="46">
        <f t="shared" ref="H77" si="22">SUM(H78,H80)</f>
        <v>0</v>
      </c>
      <c r="I77" s="551">
        <f t="shared" si="13"/>
        <v>0</v>
      </c>
      <c r="J77" s="551">
        <f t="shared" si="0"/>
        <v>0</v>
      </c>
      <c r="K77" s="3"/>
      <c r="L77" s="3"/>
      <c r="M77" s="3"/>
      <c r="N77" s="3"/>
      <c r="O77" s="3"/>
      <c r="P77" s="3"/>
      <c r="Q77" s="3"/>
    </row>
    <row r="78" spans="1:17" s="108" customFormat="1" x14ac:dyDescent="0.25">
      <c r="A78" s="105"/>
      <c r="B78" s="60" t="s">
        <v>465</v>
      </c>
      <c r="C78" s="595"/>
      <c r="D78" s="520" t="s">
        <v>68</v>
      </c>
      <c r="E78" s="46">
        <f>SUM(E79)</f>
        <v>3807.25</v>
      </c>
      <c r="F78" s="46">
        <f>SUM(F79)</f>
        <v>50500</v>
      </c>
      <c r="G78" s="46">
        <f>SUM(G79)</f>
        <v>50500</v>
      </c>
      <c r="H78" s="46">
        <f t="shared" ref="H78" si="23">SUM(H79)</f>
        <v>0</v>
      </c>
      <c r="I78" s="551">
        <f t="shared" si="13"/>
        <v>0</v>
      </c>
      <c r="J78" s="551">
        <f t="shared" ref="J78:J95" si="24">H78/G78*100</f>
        <v>0</v>
      </c>
      <c r="K78" s="3"/>
      <c r="L78" s="3"/>
      <c r="M78" s="3"/>
      <c r="N78" s="3"/>
      <c r="O78" s="3"/>
      <c r="P78" s="3"/>
      <c r="Q78" s="3"/>
    </row>
    <row r="79" spans="1:17" s="108" customFormat="1" x14ac:dyDescent="0.25">
      <c r="A79" s="105"/>
      <c r="B79" s="57" t="s">
        <v>464</v>
      </c>
      <c r="C79" s="109"/>
      <c r="D79" s="110" t="s">
        <v>68</v>
      </c>
      <c r="E79" s="50">
        <v>3807.25</v>
      </c>
      <c r="F79" s="50">
        <v>50500</v>
      </c>
      <c r="G79" s="50">
        <v>50500</v>
      </c>
      <c r="H79" s="50">
        <v>0</v>
      </c>
      <c r="I79" s="551">
        <f t="shared" si="13"/>
        <v>0</v>
      </c>
      <c r="J79" s="551">
        <f t="shared" si="24"/>
        <v>0</v>
      </c>
      <c r="K79" s="3"/>
      <c r="L79" s="3"/>
      <c r="M79" s="3"/>
      <c r="N79" s="3"/>
      <c r="O79" s="3"/>
      <c r="P79" s="3"/>
      <c r="Q79" s="3"/>
    </row>
    <row r="80" spans="1:17" s="19" customFormat="1" x14ac:dyDescent="0.25">
      <c r="A80" s="111"/>
      <c r="B80" s="60" t="s">
        <v>69</v>
      </c>
      <c r="C80" s="595"/>
      <c r="D80" s="520" t="s">
        <v>70</v>
      </c>
      <c r="E80" s="29"/>
      <c r="F80" s="29"/>
      <c r="G80" s="29"/>
      <c r="H80" s="29"/>
      <c r="I80" s="552" t="e">
        <f t="shared" si="13"/>
        <v>#DIV/0!</v>
      </c>
      <c r="J80" s="552" t="e">
        <f t="shared" si="24"/>
        <v>#DIV/0!</v>
      </c>
    </row>
    <row r="81" spans="1:17" s="20" customFormat="1" x14ac:dyDescent="0.25">
      <c r="A81" s="41"/>
      <c r="B81" s="112"/>
      <c r="C81" s="36" t="s">
        <v>71</v>
      </c>
      <c r="D81" s="37" t="s">
        <v>72</v>
      </c>
      <c r="E81" s="38">
        <f>SUM(E76)</f>
        <v>3807.25</v>
      </c>
      <c r="F81" s="38">
        <f>SUM(F76)</f>
        <v>50500</v>
      </c>
      <c r="G81" s="38">
        <f>SUM(G76)</f>
        <v>50500</v>
      </c>
      <c r="H81" s="38">
        <f>SUM(H76)</f>
        <v>0</v>
      </c>
      <c r="I81" s="589">
        <f t="shared" si="13"/>
        <v>0</v>
      </c>
      <c r="J81" s="589">
        <f t="shared" si="24"/>
        <v>0</v>
      </c>
      <c r="K81" s="19"/>
      <c r="L81" s="19"/>
      <c r="M81" s="19"/>
      <c r="N81" s="19"/>
      <c r="O81" s="19"/>
      <c r="P81" s="19"/>
      <c r="Q81" s="19"/>
    </row>
    <row r="82" spans="1:17" s="20" customFormat="1" ht="30" x14ac:dyDescent="0.25">
      <c r="A82" s="41"/>
      <c r="B82" s="76">
        <v>65</v>
      </c>
      <c r="C82" s="77"/>
      <c r="D82" s="78" t="s">
        <v>45</v>
      </c>
      <c r="E82" s="92">
        <f t="shared" ref="E82:H82" si="25">SUM(E83)</f>
        <v>3788.17</v>
      </c>
      <c r="F82" s="92">
        <f t="shared" si="25"/>
        <v>5500</v>
      </c>
      <c r="G82" s="92">
        <f t="shared" si="25"/>
        <v>5500</v>
      </c>
      <c r="H82" s="92">
        <f t="shared" si="25"/>
        <v>1150.28</v>
      </c>
      <c r="I82" s="575">
        <f t="shared" si="13"/>
        <v>20.914181818181817</v>
      </c>
      <c r="J82" s="575">
        <f t="shared" si="24"/>
        <v>20.914181818181817</v>
      </c>
      <c r="K82" s="19"/>
      <c r="L82" s="19"/>
      <c r="M82" s="19"/>
      <c r="N82" s="19"/>
      <c r="O82" s="19"/>
      <c r="P82" s="19"/>
      <c r="Q82" s="19"/>
    </row>
    <row r="83" spans="1:17" s="20" customFormat="1" x14ac:dyDescent="0.25">
      <c r="A83" s="41"/>
      <c r="B83" s="79">
        <v>652</v>
      </c>
      <c r="C83" s="80"/>
      <c r="D83" s="81" t="s">
        <v>46</v>
      </c>
      <c r="E83" s="93">
        <f t="shared" ref="E83:G84" si="26">E84</f>
        <v>3788.17</v>
      </c>
      <c r="F83" s="93">
        <f t="shared" si="26"/>
        <v>5500</v>
      </c>
      <c r="G83" s="93">
        <f t="shared" si="26"/>
        <v>5500</v>
      </c>
      <c r="H83" s="93">
        <f t="shared" ref="H83:H84" si="27">H84</f>
        <v>1150.28</v>
      </c>
      <c r="I83" s="551">
        <f t="shared" si="13"/>
        <v>20.914181818181817</v>
      </c>
      <c r="J83" s="551">
        <f t="shared" si="24"/>
        <v>20.914181818181817</v>
      </c>
      <c r="K83" s="19"/>
      <c r="L83" s="19"/>
      <c r="M83" s="19"/>
      <c r="N83" s="19"/>
      <c r="O83" s="19"/>
      <c r="P83" s="19"/>
      <c r="Q83" s="19"/>
    </row>
    <row r="84" spans="1:17" s="20" customFormat="1" x14ac:dyDescent="0.25">
      <c r="A84" s="41"/>
      <c r="B84" s="185">
        <v>6526</v>
      </c>
      <c r="C84" s="512"/>
      <c r="D84" s="513" t="s">
        <v>73</v>
      </c>
      <c r="E84" s="93">
        <f t="shared" si="26"/>
        <v>3788.17</v>
      </c>
      <c r="F84" s="93">
        <f t="shared" si="26"/>
        <v>5500</v>
      </c>
      <c r="G84" s="93">
        <f t="shared" si="26"/>
        <v>5500</v>
      </c>
      <c r="H84" s="93">
        <f t="shared" si="27"/>
        <v>1150.28</v>
      </c>
      <c r="I84" s="551">
        <f t="shared" ref="I84:I88" si="28">H84/F84*100</f>
        <v>20.914181818181817</v>
      </c>
      <c r="J84" s="551">
        <f t="shared" si="24"/>
        <v>20.914181818181817</v>
      </c>
      <c r="K84" s="19"/>
      <c r="L84" s="19"/>
      <c r="M84" s="19"/>
      <c r="N84" s="19"/>
      <c r="O84" s="19"/>
      <c r="P84" s="19"/>
      <c r="Q84" s="19"/>
    </row>
    <row r="85" spans="1:17" s="20" customFormat="1" x14ac:dyDescent="0.25">
      <c r="A85" s="41"/>
      <c r="B85" s="82">
        <v>65267</v>
      </c>
      <c r="C85" s="83"/>
      <c r="D85" s="511" t="s">
        <v>454</v>
      </c>
      <c r="E85" s="50">
        <v>3788.17</v>
      </c>
      <c r="F85" s="50">
        <v>5500</v>
      </c>
      <c r="G85" s="50">
        <v>5500</v>
      </c>
      <c r="H85" s="50">
        <v>1150.28</v>
      </c>
      <c r="I85" s="551">
        <f t="shared" si="28"/>
        <v>20.914181818181817</v>
      </c>
      <c r="J85" s="551">
        <f t="shared" si="24"/>
        <v>20.914181818181817</v>
      </c>
      <c r="K85" s="19"/>
      <c r="L85" s="19"/>
      <c r="M85" s="19"/>
      <c r="N85" s="19"/>
      <c r="O85" s="19"/>
      <c r="P85" s="19"/>
      <c r="Q85" s="19"/>
    </row>
    <row r="86" spans="1:17" s="20" customFormat="1" x14ac:dyDescent="0.25">
      <c r="A86" s="41"/>
      <c r="B86" s="82"/>
      <c r="C86" s="113">
        <v>71</v>
      </c>
      <c r="D86" s="114" t="s">
        <v>74</v>
      </c>
      <c r="E86" s="115">
        <f>SUM(E82)</f>
        <v>3788.17</v>
      </c>
      <c r="F86" s="115">
        <f>SUM(F82)</f>
        <v>5500</v>
      </c>
      <c r="G86" s="115">
        <f>SUM(G82)</f>
        <v>5500</v>
      </c>
      <c r="H86" s="115">
        <f>SUM(H82)</f>
        <v>1150.28</v>
      </c>
      <c r="I86" s="589">
        <f t="shared" si="28"/>
        <v>20.914181818181817</v>
      </c>
      <c r="J86" s="589">
        <f t="shared" si="24"/>
        <v>20.914181818181817</v>
      </c>
      <c r="K86" s="19"/>
      <c r="L86" s="19"/>
      <c r="M86" s="19"/>
      <c r="N86" s="19"/>
      <c r="O86" s="19"/>
      <c r="P86" s="19"/>
      <c r="Q86" s="19"/>
    </row>
    <row r="87" spans="1:17" s="52" customFormat="1" x14ac:dyDescent="0.25">
      <c r="A87" s="116">
        <v>7</v>
      </c>
      <c r="B87" s="116"/>
      <c r="C87" s="117"/>
      <c r="D87" s="118" t="s">
        <v>75</v>
      </c>
      <c r="E87" s="119">
        <f>SUM(E88)</f>
        <v>0</v>
      </c>
      <c r="F87" s="119">
        <f>SUM(F88)</f>
        <v>0</v>
      </c>
      <c r="G87" s="119">
        <f>SUM(G88)</f>
        <v>800</v>
      </c>
      <c r="H87" s="119">
        <f>SUM(H88)</f>
        <v>800</v>
      </c>
      <c r="I87" s="590" t="e">
        <f t="shared" si="28"/>
        <v>#DIV/0!</v>
      </c>
      <c r="J87" s="590">
        <f t="shared" si="24"/>
        <v>100</v>
      </c>
      <c r="K87" s="51"/>
      <c r="L87" s="51"/>
      <c r="M87" s="51"/>
      <c r="N87" s="51"/>
      <c r="O87" s="51"/>
      <c r="P87" s="51"/>
      <c r="Q87" s="51"/>
    </row>
    <row r="88" spans="1:17" s="52" customFormat="1" x14ac:dyDescent="0.25">
      <c r="A88" s="61"/>
      <c r="B88" s="223">
        <v>72</v>
      </c>
      <c r="C88" s="70"/>
      <c r="D88" s="71" t="s">
        <v>76</v>
      </c>
      <c r="E88" s="92">
        <f>SUM(E89,E91)</f>
        <v>0</v>
      </c>
      <c r="F88" s="92">
        <f>SUM(F89,F91)</f>
        <v>0</v>
      </c>
      <c r="G88" s="92">
        <f>SUM(G89,G91)</f>
        <v>800</v>
      </c>
      <c r="H88" s="92">
        <f>SUM(H89,H91)</f>
        <v>800</v>
      </c>
      <c r="I88" s="575" t="e">
        <f t="shared" si="28"/>
        <v>#DIV/0!</v>
      </c>
      <c r="J88" s="575">
        <f t="shared" si="24"/>
        <v>100</v>
      </c>
      <c r="K88" s="51"/>
      <c r="L88" s="51"/>
      <c r="M88" s="51"/>
      <c r="N88" s="51"/>
      <c r="O88" s="51"/>
      <c r="P88" s="51"/>
      <c r="Q88" s="51"/>
    </row>
    <row r="89" spans="1:17" s="68" customFormat="1" x14ac:dyDescent="0.25">
      <c r="A89" s="61"/>
      <c r="B89" s="148">
        <v>721</v>
      </c>
      <c r="C89" s="72"/>
      <c r="D89" s="73" t="s">
        <v>77</v>
      </c>
      <c r="E89" s="93">
        <f>SUM(E90)</f>
        <v>0</v>
      </c>
      <c r="F89" s="93">
        <f>SUM(F90)</f>
        <v>0</v>
      </c>
      <c r="G89" s="93">
        <f>SUM(G90)</f>
        <v>0</v>
      </c>
      <c r="H89" s="93">
        <f>SUM(H90)</f>
        <v>0</v>
      </c>
      <c r="I89" s="551" t="e">
        <f t="shared" ref="I89:I95" si="29">H89/F89*100</f>
        <v>#DIV/0!</v>
      </c>
      <c r="J89" s="551" t="e">
        <f t="shared" si="24"/>
        <v>#DIV/0!</v>
      </c>
      <c r="K89" s="67"/>
      <c r="L89" s="67"/>
      <c r="M89" s="67"/>
      <c r="N89" s="67"/>
      <c r="O89" s="67"/>
      <c r="P89" s="67"/>
      <c r="Q89" s="67"/>
    </row>
    <row r="90" spans="1:17" s="52" customFormat="1" x14ac:dyDescent="0.25">
      <c r="A90" s="61"/>
      <c r="B90" s="148">
        <v>7211</v>
      </c>
      <c r="C90" s="121"/>
      <c r="D90" s="73" t="s">
        <v>78</v>
      </c>
      <c r="E90" s="50"/>
      <c r="F90" s="50"/>
      <c r="G90" s="50"/>
      <c r="H90" s="50"/>
      <c r="I90" s="551" t="e">
        <f t="shared" si="29"/>
        <v>#DIV/0!</v>
      </c>
      <c r="J90" s="551" t="e">
        <f t="shared" si="24"/>
        <v>#DIV/0!</v>
      </c>
      <c r="K90" s="51"/>
      <c r="L90" s="51"/>
      <c r="M90" s="51"/>
      <c r="N90" s="51"/>
      <c r="O90" s="51"/>
      <c r="P90" s="51"/>
      <c r="Q90" s="51"/>
    </row>
    <row r="91" spans="1:17" s="68" customFormat="1" x14ac:dyDescent="0.25">
      <c r="A91" s="122"/>
      <c r="B91" s="259">
        <v>723</v>
      </c>
      <c r="C91" s="123"/>
      <c r="D91" s="124" t="s">
        <v>79</v>
      </c>
      <c r="E91" s="125">
        <f>E92</f>
        <v>0</v>
      </c>
      <c r="F91" s="125">
        <f>F92</f>
        <v>0</v>
      </c>
      <c r="G91" s="125">
        <f>G92</f>
        <v>800</v>
      </c>
      <c r="H91" s="125">
        <f>H92</f>
        <v>800</v>
      </c>
      <c r="I91" s="551" t="e">
        <f t="shared" si="29"/>
        <v>#DIV/0!</v>
      </c>
      <c r="J91" s="551">
        <f t="shared" si="24"/>
        <v>100</v>
      </c>
      <c r="K91" s="67"/>
      <c r="L91" s="67"/>
      <c r="M91" s="67"/>
      <c r="N91" s="67"/>
      <c r="O91" s="67"/>
      <c r="P91" s="67"/>
      <c r="Q91" s="67"/>
    </row>
    <row r="92" spans="1:17" s="52" customFormat="1" x14ac:dyDescent="0.25">
      <c r="A92" s="122"/>
      <c r="B92" s="259">
        <v>7231</v>
      </c>
      <c r="C92" s="123"/>
      <c r="D92" s="124" t="s">
        <v>80</v>
      </c>
      <c r="E92" s="125">
        <f>E93</f>
        <v>0</v>
      </c>
      <c r="F92" s="125">
        <f>F93</f>
        <v>0</v>
      </c>
      <c r="G92" s="125">
        <f t="shared" ref="G92:H92" si="30">G93</f>
        <v>800</v>
      </c>
      <c r="H92" s="125">
        <f t="shared" si="30"/>
        <v>800</v>
      </c>
      <c r="I92" s="551" t="e">
        <f t="shared" si="29"/>
        <v>#DIV/0!</v>
      </c>
      <c r="J92" s="551">
        <f t="shared" si="24"/>
        <v>100</v>
      </c>
      <c r="K92" s="51"/>
      <c r="L92" s="51"/>
      <c r="M92" s="51"/>
      <c r="N92" s="51"/>
      <c r="O92" s="51"/>
      <c r="P92" s="51"/>
      <c r="Q92" s="51"/>
    </row>
    <row r="93" spans="1:17" s="52" customFormat="1" x14ac:dyDescent="0.25">
      <c r="A93" s="122"/>
      <c r="B93" s="808">
        <v>72313</v>
      </c>
      <c r="C93" s="809"/>
      <c r="D93" s="810" t="s">
        <v>612</v>
      </c>
      <c r="E93" s="811">
        <v>0</v>
      </c>
      <c r="F93" s="811">
        <v>0</v>
      </c>
      <c r="G93" s="811">
        <v>800</v>
      </c>
      <c r="H93" s="811">
        <v>800</v>
      </c>
      <c r="I93" s="551" t="e">
        <f t="shared" ref="I93" si="31">H93/F93*100</f>
        <v>#DIV/0!</v>
      </c>
      <c r="J93" s="551">
        <f t="shared" ref="J93" si="32">H93/G93*100</f>
        <v>100</v>
      </c>
      <c r="K93" s="51"/>
      <c r="L93" s="51"/>
      <c r="M93" s="51"/>
      <c r="N93" s="51"/>
      <c r="O93" s="51"/>
      <c r="P93" s="51"/>
      <c r="Q93" s="51"/>
    </row>
    <row r="94" spans="1:17" s="12" customFormat="1" ht="15.75" thickBot="1" x14ac:dyDescent="0.3">
      <c r="A94" s="126"/>
      <c r="B94" s="126"/>
      <c r="C94" s="113">
        <v>71</v>
      </c>
      <c r="D94" s="114" t="s">
        <v>74</v>
      </c>
      <c r="E94" s="127">
        <f>SUM(E87)</f>
        <v>0</v>
      </c>
      <c r="F94" s="127">
        <f>SUM(F87)</f>
        <v>0</v>
      </c>
      <c r="G94" s="127">
        <f>SUM(G87)</f>
        <v>800</v>
      </c>
      <c r="H94" s="127">
        <f>SUM(H87)</f>
        <v>800</v>
      </c>
      <c r="I94" s="593" t="e">
        <f t="shared" si="29"/>
        <v>#DIV/0!</v>
      </c>
      <c r="J94" s="593">
        <f t="shared" si="24"/>
        <v>100</v>
      </c>
      <c r="K94" s="3"/>
      <c r="L94" s="3"/>
      <c r="M94" s="3"/>
      <c r="N94" s="3"/>
      <c r="O94" s="3"/>
      <c r="P94" s="3"/>
      <c r="Q94" s="3"/>
    </row>
    <row r="95" spans="1:17" s="130" customFormat="1" ht="16.5" thickBot="1" x14ac:dyDescent="0.3">
      <c r="A95" s="935" t="s">
        <v>81</v>
      </c>
      <c r="B95" s="936"/>
      <c r="C95" s="936"/>
      <c r="D95" s="937"/>
      <c r="E95" s="128">
        <f>SUM(E8,E87)</f>
        <v>2228337.5500000003</v>
      </c>
      <c r="F95" s="128">
        <f>SUM(F8,F87)</f>
        <v>4702255.63</v>
      </c>
      <c r="G95" s="128">
        <f>SUM(G8,G87)</f>
        <v>4988957.92</v>
      </c>
      <c r="H95" s="591">
        <f>SUM(H8,H87)</f>
        <v>2608890.3099999996</v>
      </c>
      <c r="I95" s="592">
        <f t="shared" si="29"/>
        <v>55.481677630528978</v>
      </c>
      <c r="J95" s="592">
        <f t="shared" si="24"/>
        <v>52.293291541733424</v>
      </c>
      <c r="K95" s="129"/>
      <c r="L95" s="129"/>
      <c r="M95" s="129"/>
      <c r="N95" s="129"/>
      <c r="O95" s="129"/>
      <c r="P95" s="129"/>
      <c r="Q95" s="129"/>
    </row>
    <row r="96" spans="1:17" s="130" customFormat="1" ht="15.75" hidden="1" x14ac:dyDescent="0.25">
      <c r="A96" s="813"/>
      <c r="B96" s="813"/>
      <c r="C96" s="813"/>
      <c r="D96" s="813"/>
      <c r="E96" s="813"/>
      <c r="F96" s="814"/>
      <c r="G96" s="814"/>
      <c r="H96" s="814"/>
      <c r="I96" s="815"/>
      <c r="J96" s="815"/>
      <c r="K96" s="129"/>
      <c r="L96" s="129"/>
      <c r="M96" s="129"/>
      <c r="N96" s="129"/>
      <c r="O96" s="129"/>
      <c r="P96" s="129"/>
      <c r="Q96" s="129"/>
    </row>
    <row r="97" spans="1:17" s="12" customFormat="1" x14ac:dyDescent="0.25">
      <c r="A97" s="131"/>
      <c r="B97" s="131"/>
      <c r="C97" s="131"/>
      <c r="D97" s="131"/>
      <c r="E97" s="131"/>
      <c r="F97" s="132"/>
      <c r="G97" s="132"/>
      <c r="H97" s="133"/>
      <c r="I97" s="558"/>
      <c r="J97" s="558"/>
      <c r="K97" s="3"/>
      <c r="L97" s="3"/>
      <c r="M97" s="3"/>
      <c r="N97" s="3"/>
      <c r="O97" s="3"/>
      <c r="P97" s="3"/>
      <c r="Q97" s="3"/>
    </row>
    <row r="98" spans="1:17" s="12" customFormat="1" hidden="1" x14ac:dyDescent="0.25">
      <c r="A98" s="131"/>
      <c r="B98" s="131"/>
      <c r="C98" s="131"/>
      <c r="D98" s="131"/>
      <c r="E98" s="131"/>
      <c r="F98" s="132"/>
      <c r="G98" s="132"/>
      <c r="H98" s="133"/>
      <c r="I98" s="558"/>
      <c r="J98" s="558"/>
      <c r="K98" s="3"/>
      <c r="L98" s="3"/>
      <c r="M98" s="3"/>
      <c r="N98" s="3"/>
      <c r="O98" s="3"/>
      <c r="P98" s="3"/>
      <c r="Q98" s="3"/>
    </row>
    <row r="99" spans="1:17" s="12" customFormat="1" hidden="1" x14ac:dyDescent="0.25">
      <c r="A99" s="131"/>
      <c r="B99" s="131"/>
      <c r="C99" s="131"/>
      <c r="D99" s="131"/>
      <c r="E99" s="131"/>
      <c r="F99" s="132"/>
      <c r="G99" s="132"/>
      <c r="H99" s="133"/>
      <c r="I99" s="558"/>
      <c r="J99" s="558"/>
      <c r="K99" s="3"/>
      <c r="L99" s="3"/>
      <c r="M99" s="3"/>
      <c r="N99" s="3"/>
      <c r="O99" s="3"/>
      <c r="P99" s="3"/>
      <c r="Q99" s="3"/>
    </row>
    <row r="100" spans="1:17" s="12" customFormat="1" hidden="1" x14ac:dyDescent="0.25">
      <c r="A100" s="134"/>
      <c r="B100" s="131"/>
      <c r="C100" s="131"/>
      <c r="D100" s="131"/>
      <c r="E100" s="131"/>
      <c r="F100" s="135"/>
      <c r="G100" s="135"/>
      <c r="H100" s="131"/>
      <c r="I100" s="559"/>
      <c r="J100" s="559"/>
      <c r="K100" s="3"/>
      <c r="L100" s="3"/>
      <c r="M100" s="3"/>
      <c r="N100" s="3"/>
      <c r="O100" s="3"/>
      <c r="P100" s="3"/>
      <c r="Q100" s="3"/>
    </row>
    <row r="101" spans="1:17" s="20" customFormat="1" ht="15.75" hidden="1" customHeight="1" x14ac:dyDescent="0.25">
      <c r="A101" s="925" t="s">
        <v>82</v>
      </c>
      <c r="B101" s="926"/>
      <c r="C101" s="926"/>
      <c r="D101" s="926"/>
      <c r="E101" s="926"/>
      <c r="F101" s="926"/>
      <c r="G101" s="926"/>
      <c r="H101" s="926"/>
      <c r="I101" s="926"/>
      <c r="J101" s="19"/>
      <c r="K101" s="19"/>
      <c r="L101" s="19"/>
      <c r="M101" s="19"/>
      <c r="N101" s="19"/>
      <c r="O101" s="19"/>
      <c r="P101" s="19"/>
      <c r="Q101" s="19"/>
    </row>
    <row r="102" spans="1:17" s="12" customFormat="1" ht="63" hidden="1" x14ac:dyDescent="0.25">
      <c r="A102" s="7" t="s">
        <v>3</v>
      </c>
      <c r="B102" s="7" t="s">
        <v>4</v>
      </c>
      <c r="C102" s="8" t="s">
        <v>5</v>
      </c>
      <c r="D102" s="9" t="s">
        <v>6</v>
      </c>
      <c r="E102" s="596"/>
      <c r="F102" s="10" t="s">
        <v>83</v>
      </c>
      <c r="G102" s="10"/>
      <c r="H102" s="11" t="s">
        <v>84</v>
      </c>
      <c r="I102" s="560" t="s">
        <v>85</v>
      </c>
      <c r="J102" s="560"/>
      <c r="K102" s="3"/>
      <c r="L102" s="3"/>
      <c r="M102" s="3"/>
      <c r="N102" s="3"/>
      <c r="O102" s="3"/>
      <c r="P102" s="3"/>
      <c r="Q102" s="3"/>
    </row>
    <row r="103" spans="1:17" s="12" customFormat="1" hidden="1" x14ac:dyDescent="0.25">
      <c r="A103" s="927">
        <v>1</v>
      </c>
      <c r="B103" s="927"/>
      <c r="C103" s="927"/>
      <c r="D103" s="927"/>
      <c r="E103" s="541"/>
      <c r="F103" s="136">
        <v>2</v>
      </c>
      <c r="G103" s="136"/>
      <c r="H103" s="14">
        <v>3</v>
      </c>
      <c r="I103" s="547">
        <v>4</v>
      </c>
      <c r="J103" s="547"/>
      <c r="K103" s="3"/>
      <c r="L103" s="3"/>
      <c r="M103" s="3"/>
      <c r="N103" s="3"/>
      <c r="O103" s="3"/>
      <c r="P103" s="3"/>
      <c r="Q103" s="3"/>
    </row>
    <row r="104" spans="1:17" s="12" customFormat="1" hidden="1" x14ac:dyDescent="0.25">
      <c r="A104" s="137" t="s">
        <v>86</v>
      </c>
      <c r="B104" s="137"/>
      <c r="C104" s="138"/>
      <c r="D104" s="139" t="s">
        <v>87</v>
      </c>
      <c r="E104" s="139"/>
      <c r="F104" s="140">
        <f>F105+F115+F148+F153+F157+F160</f>
        <v>0</v>
      </c>
      <c r="G104" s="140"/>
      <c r="H104" s="140">
        <f>H105+H115+H148+H153+H157+H160</f>
        <v>59190450.609999992</v>
      </c>
      <c r="I104" s="561">
        <f>I105+I115+I148+I157+I160</f>
        <v>0</v>
      </c>
      <c r="J104" s="561"/>
      <c r="K104" s="3"/>
      <c r="L104" s="3"/>
      <c r="M104" s="3"/>
      <c r="N104" s="3"/>
      <c r="O104" s="3"/>
      <c r="P104" s="3"/>
      <c r="Q104" s="3"/>
    </row>
    <row r="105" spans="1:17" s="12" customFormat="1" hidden="1" x14ac:dyDescent="0.25">
      <c r="A105" s="105"/>
      <c r="B105" s="22">
        <v>31</v>
      </c>
      <c r="C105" s="141"/>
      <c r="D105" s="142" t="s">
        <v>88</v>
      </c>
      <c r="E105" s="142"/>
      <c r="F105" s="42">
        <f>F106+F111+F113</f>
        <v>0</v>
      </c>
      <c r="G105" s="42"/>
      <c r="H105" s="42">
        <f>H106+H111+H113</f>
        <v>38266104.469999999</v>
      </c>
      <c r="I105" s="550">
        <f>I106+I111+I113</f>
        <v>0</v>
      </c>
      <c r="J105" s="550"/>
      <c r="K105" s="3"/>
      <c r="L105" s="3"/>
      <c r="M105" s="3"/>
      <c r="N105" s="3"/>
      <c r="O105" s="3"/>
      <c r="P105" s="3"/>
      <c r="Q105" s="3"/>
    </row>
    <row r="106" spans="1:17" s="20" customFormat="1" hidden="1" x14ac:dyDescent="0.25">
      <c r="A106" s="105"/>
      <c r="B106" s="43">
        <v>311</v>
      </c>
      <c r="C106" s="143"/>
      <c r="D106" s="105" t="s">
        <v>89</v>
      </c>
      <c r="E106" s="105"/>
      <c r="F106" s="46">
        <f>SUM(F107:F110)</f>
        <v>0</v>
      </c>
      <c r="G106" s="46"/>
      <c r="H106" s="46">
        <f>SUM(H107:H110)</f>
        <v>31479072.16</v>
      </c>
      <c r="I106" s="551">
        <f>SUM(I107:I110)</f>
        <v>0</v>
      </c>
      <c r="J106" s="551"/>
      <c r="K106" s="19"/>
      <c r="L106" s="19"/>
      <c r="M106" s="19"/>
      <c r="N106" s="19"/>
      <c r="O106" s="19"/>
      <c r="P106" s="19"/>
      <c r="Q106" s="19"/>
    </row>
    <row r="107" spans="1:17" s="147" customFormat="1" hidden="1" x14ac:dyDescent="0.25">
      <c r="A107" s="143"/>
      <c r="B107" s="144">
        <v>3111</v>
      </c>
      <c r="C107" s="143"/>
      <c r="D107" s="143" t="s">
        <v>90</v>
      </c>
      <c r="E107" s="143"/>
      <c r="F107" s="145"/>
      <c r="G107" s="145"/>
      <c r="H107" s="145">
        <v>26934798.879999999</v>
      </c>
      <c r="I107" s="562"/>
      <c r="J107" s="562"/>
      <c r="K107" s="146"/>
      <c r="L107" s="146"/>
      <c r="M107" s="146"/>
      <c r="N107" s="146"/>
      <c r="O107" s="146"/>
      <c r="P107" s="146"/>
      <c r="Q107" s="146"/>
    </row>
    <row r="108" spans="1:17" s="147" customFormat="1" hidden="1" x14ac:dyDescent="0.25">
      <c r="A108" s="143"/>
      <c r="B108" s="144" t="s">
        <v>91</v>
      </c>
      <c r="C108" s="143"/>
      <c r="D108" s="143" t="s">
        <v>92</v>
      </c>
      <c r="E108" s="143"/>
      <c r="F108" s="145"/>
      <c r="G108" s="145"/>
      <c r="H108" s="145">
        <v>0</v>
      </c>
      <c r="I108" s="562">
        <v>0</v>
      </c>
      <c r="J108" s="562"/>
      <c r="K108" s="146"/>
      <c r="L108" s="146"/>
      <c r="M108" s="146"/>
      <c r="N108" s="146"/>
      <c r="O108" s="146"/>
      <c r="P108" s="146"/>
      <c r="Q108" s="146"/>
    </row>
    <row r="109" spans="1:17" s="147" customFormat="1" hidden="1" x14ac:dyDescent="0.25">
      <c r="A109" s="143"/>
      <c r="B109" s="144" t="s">
        <v>93</v>
      </c>
      <c r="C109" s="143"/>
      <c r="D109" s="143" t="s">
        <v>94</v>
      </c>
      <c r="E109" s="143"/>
      <c r="F109" s="145"/>
      <c r="G109" s="145"/>
      <c r="H109" s="145">
        <v>2081601.57</v>
      </c>
      <c r="I109" s="562">
        <v>0</v>
      </c>
      <c r="J109" s="562"/>
      <c r="K109" s="146"/>
      <c r="L109" s="146"/>
      <c r="M109" s="146"/>
      <c r="N109" s="146"/>
      <c r="O109" s="146"/>
      <c r="P109" s="146"/>
      <c r="Q109" s="146"/>
    </row>
    <row r="110" spans="1:17" s="147" customFormat="1" hidden="1" x14ac:dyDescent="0.25">
      <c r="A110" s="143"/>
      <c r="B110" s="144" t="s">
        <v>95</v>
      </c>
      <c r="C110" s="143"/>
      <c r="D110" s="143" t="s">
        <v>96</v>
      </c>
      <c r="E110" s="143"/>
      <c r="F110" s="145"/>
      <c r="G110" s="145"/>
      <c r="H110" s="145">
        <v>2462671.71</v>
      </c>
      <c r="I110" s="562">
        <v>0</v>
      </c>
      <c r="J110" s="562"/>
      <c r="K110" s="146"/>
      <c r="L110" s="146"/>
      <c r="M110" s="146"/>
      <c r="N110" s="146"/>
      <c r="O110" s="146"/>
      <c r="P110" s="146"/>
      <c r="Q110" s="146"/>
    </row>
    <row r="111" spans="1:17" s="151" customFormat="1" hidden="1" x14ac:dyDescent="0.25">
      <c r="A111" s="148"/>
      <c r="B111" s="149" t="s">
        <v>97</v>
      </c>
      <c r="C111" s="148"/>
      <c r="D111" s="148" t="s">
        <v>98</v>
      </c>
      <c r="E111" s="148"/>
      <c r="F111" s="93">
        <f>SUM(F112)</f>
        <v>0</v>
      </c>
      <c r="G111" s="93"/>
      <c r="H111" s="93">
        <f>SUM(H112)</f>
        <v>1080214.8799999999</v>
      </c>
      <c r="I111" s="552">
        <f>SUM(I112)</f>
        <v>0</v>
      </c>
      <c r="J111" s="552"/>
      <c r="K111" s="150"/>
      <c r="L111" s="150"/>
      <c r="M111" s="150"/>
      <c r="N111" s="150"/>
      <c r="O111" s="150"/>
      <c r="P111" s="150"/>
      <c r="Q111" s="150"/>
    </row>
    <row r="112" spans="1:17" s="147" customFormat="1" hidden="1" x14ac:dyDescent="0.25">
      <c r="A112" s="143"/>
      <c r="B112" s="144" t="s">
        <v>99</v>
      </c>
      <c r="C112" s="143"/>
      <c r="D112" s="143" t="s">
        <v>98</v>
      </c>
      <c r="E112" s="143"/>
      <c r="F112" s="145"/>
      <c r="G112" s="145"/>
      <c r="H112" s="145">
        <v>1080214.8799999999</v>
      </c>
      <c r="I112" s="562"/>
      <c r="J112" s="562"/>
      <c r="K112" s="146"/>
      <c r="L112" s="146"/>
      <c r="M112" s="146"/>
      <c r="N112" s="146"/>
      <c r="O112" s="146"/>
      <c r="P112" s="146"/>
      <c r="Q112" s="146"/>
    </row>
    <row r="113" spans="1:17" s="147" customFormat="1" hidden="1" x14ac:dyDescent="0.25">
      <c r="A113" s="105"/>
      <c r="B113" s="53">
        <v>313</v>
      </c>
      <c r="C113" s="105"/>
      <c r="D113" s="105" t="s">
        <v>100</v>
      </c>
      <c r="E113" s="105"/>
      <c r="F113" s="152">
        <f>SUM(F114:F114)</f>
        <v>0</v>
      </c>
      <c r="G113" s="152"/>
      <c r="H113" s="152">
        <f>SUM(H114:H114)</f>
        <v>5706817.4299999997</v>
      </c>
      <c r="I113" s="563">
        <f>SUM(I114:I114)</f>
        <v>0</v>
      </c>
      <c r="J113" s="563"/>
      <c r="K113" s="146"/>
      <c r="L113" s="146"/>
      <c r="M113" s="146"/>
      <c r="N113" s="146"/>
      <c r="O113" s="146"/>
      <c r="P113" s="146"/>
      <c r="Q113" s="146"/>
    </row>
    <row r="114" spans="1:17" s="12" customFormat="1" hidden="1" x14ac:dyDescent="0.25">
      <c r="A114" s="143"/>
      <c r="B114" s="57">
        <v>3132</v>
      </c>
      <c r="C114" s="143"/>
      <c r="D114" s="143" t="s">
        <v>101</v>
      </c>
      <c r="E114" s="143"/>
      <c r="F114" s="153"/>
      <c r="G114" s="153"/>
      <c r="H114" s="153">
        <v>5706817.4299999997</v>
      </c>
      <c r="I114" s="564"/>
      <c r="J114" s="564"/>
      <c r="K114" s="3"/>
      <c r="L114" s="3"/>
      <c r="M114" s="3"/>
      <c r="N114" s="3"/>
      <c r="O114" s="3"/>
      <c r="P114" s="3"/>
      <c r="Q114" s="3"/>
    </row>
    <row r="115" spans="1:17" s="12" customFormat="1" hidden="1" x14ac:dyDescent="0.25">
      <c r="A115" s="105"/>
      <c r="B115" s="22">
        <v>32</v>
      </c>
      <c r="C115" s="141"/>
      <c r="D115" s="142" t="s">
        <v>102</v>
      </c>
      <c r="E115" s="142"/>
      <c r="F115" s="42">
        <f>F116+F121+F128+F138+F140</f>
        <v>0</v>
      </c>
      <c r="G115" s="42"/>
      <c r="H115" s="42">
        <f>H116+H121+H128+H138+H140</f>
        <v>19837046.129999999</v>
      </c>
      <c r="I115" s="550">
        <f>I116+I121+I128+I138+I140</f>
        <v>0</v>
      </c>
      <c r="J115" s="550"/>
      <c r="K115" s="3"/>
      <c r="L115" s="3"/>
      <c r="M115" s="3"/>
      <c r="N115" s="3"/>
      <c r="O115" s="3"/>
      <c r="P115" s="3"/>
      <c r="Q115" s="3"/>
    </row>
    <row r="116" spans="1:17" s="12" customFormat="1" hidden="1" x14ac:dyDescent="0.25">
      <c r="A116" s="105"/>
      <c r="B116" s="43">
        <v>321</v>
      </c>
      <c r="C116" s="105"/>
      <c r="D116" s="105" t="s">
        <v>103</v>
      </c>
      <c r="E116" s="105"/>
      <c r="F116" s="46">
        <f>SUM(F117:F120)</f>
        <v>0</v>
      </c>
      <c r="G116" s="46"/>
      <c r="H116" s="46">
        <f>SUM(H117:H120)</f>
        <v>1286916.72</v>
      </c>
      <c r="I116" s="551">
        <f>SUM(I117:I120)</f>
        <v>0</v>
      </c>
      <c r="J116" s="551"/>
      <c r="K116" s="3"/>
      <c r="L116" s="3"/>
      <c r="M116" s="3"/>
      <c r="N116" s="3"/>
      <c r="O116" s="3"/>
      <c r="P116" s="3"/>
      <c r="Q116" s="3"/>
    </row>
    <row r="117" spans="1:17" s="155" customFormat="1" hidden="1" x14ac:dyDescent="0.25">
      <c r="A117" s="143"/>
      <c r="B117" s="144" t="s">
        <v>104</v>
      </c>
      <c r="C117" s="143"/>
      <c r="D117" s="143" t="s">
        <v>105</v>
      </c>
      <c r="E117" s="143"/>
      <c r="F117" s="145"/>
      <c r="G117" s="145"/>
      <c r="H117" s="145">
        <v>58092.24</v>
      </c>
      <c r="I117" s="562"/>
      <c r="J117" s="562"/>
      <c r="K117" s="154"/>
      <c r="L117" s="154"/>
      <c r="M117" s="154"/>
      <c r="N117" s="154"/>
      <c r="O117" s="154"/>
      <c r="P117" s="154"/>
      <c r="Q117" s="154"/>
    </row>
    <row r="118" spans="1:17" s="12" customFormat="1" hidden="1" x14ac:dyDescent="0.25">
      <c r="A118" s="143"/>
      <c r="B118" s="144" t="s">
        <v>106</v>
      </c>
      <c r="C118" s="143"/>
      <c r="D118" s="156" t="s">
        <v>107</v>
      </c>
      <c r="E118" s="156"/>
      <c r="F118" s="145"/>
      <c r="G118" s="145"/>
      <c r="H118" s="145">
        <v>1157835.7</v>
      </c>
      <c r="I118" s="562"/>
      <c r="J118" s="562"/>
      <c r="K118" s="157"/>
      <c r="L118" s="157"/>
      <c r="M118" s="3"/>
      <c r="N118" s="3"/>
      <c r="O118" s="3"/>
      <c r="P118" s="3"/>
      <c r="Q118" s="3"/>
    </row>
    <row r="119" spans="1:17" s="12" customFormat="1" hidden="1" x14ac:dyDescent="0.25">
      <c r="A119" s="143"/>
      <c r="B119" s="144" t="s">
        <v>108</v>
      </c>
      <c r="C119" s="143"/>
      <c r="D119" s="156" t="s">
        <v>109</v>
      </c>
      <c r="E119" s="156"/>
      <c r="F119" s="145"/>
      <c r="G119" s="145"/>
      <c r="H119" s="145">
        <v>68599.77</v>
      </c>
      <c r="I119" s="562"/>
      <c r="J119" s="562"/>
      <c r="K119" s="3"/>
      <c r="L119" s="3"/>
      <c r="M119" s="3"/>
      <c r="N119" s="3"/>
      <c r="O119" s="3"/>
      <c r="P119" s="3"/>
      <c r="Q119" s="3"/>
    </row>
    <row r="120" spans="1:17" s="12" customFormat="1" hidden="1" x14ac:dyDescent="0.25">
      <c r="A120" s="143"/>
      <c r="B120" s="144" t="s">
        <v>110</v>
      </c>
      <c r="C120" s="143"/>
      <c r="D120" s="156" t="s">
        <v>111</v>
      </c>
      <c r="E120" s="156"/>
      <c r="F120" s="145"/>
      <c r="G120" s="145"/>
      <c r="H120" s="145">
        <v>2389.0100000000002</v>
      </c>
      <c r="I120" s="562">
        <v>0</v>
      </c>
      <c r="J120" s="562"/>
      <c r="K120" s="3"/>
      <c r="L120" s="3"/>
      <c r="M120" s="3"/>
      <c r="N120" s="3"/>
      <c r="O120" s="3"/>
      <c r="P120" s="3"/>
      <c r="Q120" s="3"/>
    </row>
    <row r="121" spans="1:17" s="68" customFormat="1" hidden="1" x14ac:dyDescent="0.25">
      <c r="A121" s="148"/>
      <c r="B121" s="149" t="s">
        <v>112</v>
      </c>
      <c r="C121" s="148"/>
      <c r="D121" s="158" t="s">
        <v>113</v>
      </c>
      <c r="E121" s="158"/>
      <c r="F121" s="93">
        <f>SUM(F122:F127)</f>
        <v>0</v>
      </c>
      <c r="G121" s="93"/>
      <c r="H121" s="93">
        <f>SUM(H122:H127)</f>
        <v>14671871.550000001</v>
      </c>
      <c r="I121" s="552">
        <f>SUM(I122:I127)</f>
        <v>0</v>
      </c>
      <c r="J121" s="552"/>
      <c r="K121" s="67"/>
      <c r="L121" s="67"/>
      <c r="M121" s="67"/>
      <c r="N121" s="67"/>
      <c r="O121" s="67"/>
      <c r="P121" s="67"/>
      <c r="Q121" s="67"/>
    </row>
    <row r="122" spans="1:17" s="68" customFormat="1" hidden="1" x14ac:dyDescent="0.25">
      <c r="A122" s="148"/>
      <c r="B122" s="48" t="s">
        <v>114</v>
      </c>
      <c r="C122" s="148"/>
      <c r="D122" s="143" t="s">
        <v>115</v>
      </c>
      <c r="E122" s="143"/>
      <c r="F122" s="50"/>
      <c r="G122" s="50"/>
      <c r="H122" s="50">
        <v>491365.97</v>
      </c>
      <c r="I122" s="554"/>
      <c r="J122" s="554"/>
      <c r="K122" s="67"/>
      <c r="L122" s="67"/>
      <c r="M122" s="67"/>
      <c r="N122" s="67"/>
      <c r="O122" s="67"/>
      <c r="P122" s="67"/>
      <c r="Q122" s="67"/>
    </row>
    <row r="123" spans="1:17" s="68" customFormat="1" hidden="1" x14ac:dyDescent="0.25">
      <c r="A123" s="148"/>
      <c r="B123" s="48" t="s">
        <v>116</v>
      </c>
      <c r="C123" s="148"/>
      <c r="D123" s="143" t="s">
        <v>117</v>
      </c>
      <c r="E123" s="143"/>
      <c r="F123" s="50"/>
      <c r="G123" s="50"/>
      <c r="H123" s="50">
        <v>11982425.029999999</v>
      </c>
      <c r="I123" s="554"/>
      <c r="J123" s="554"/>
      <c r="K123" s="67"/>
      <c r="L123" s="67"/>
      <c r="M123" s="67"/>
      <c r="N123" s="67"/>
      <c r="O123" s="67"/>
      <c r="P123" s="67"/>
      <c r="Q123" s="67"/>
    </row>
    <row r="124" spans="1:17" s="68" customFormat="1" hidden="1" x14ac:dyDescent="0.25">
      <c r="A124" s="148"/>
      <c r="B124" s="48" t="s">
        <v>118</v>
      </c>
      <c r="C124" s="148"/>
      <c r="D124" s="143" t="s">
        <v>119</v>
      </c>
      <c r="E124" s="143"/>
      <c r="F124" s="50"/>
      <c r="G124" s="50"/>
      <c r="H124" s="50">
        <v>1964258.67</v>
      </c>
      <c r="I124" s="554"/>
      <c r="J124" s="554"/>
      <c r="K124" s="67"/>
      <c r="L124" s="67"/>
      <c r="M124" s="67"/>
      <c r="N124" s="67"/>
      <c r="O124" s="67"/>
      <c r="P124" s="67"/>
      <c r="Q124" s="67"/>
    </row>
    <row r="125" spans="1:17" s="68" customFormat="1" hidden="1" x14ac:dyDescent="0.25">
      <c r="A125" s="148"/>
      <c r="B125" s="48" t="s">
        <v>120</v>
      </c>
      <c r="C125" s="148"/>
      <c r="D125" s="156" t="s">
        <v>121</v>
      </c>
      <c r="E125" s="156"/>
      <c r="F125" s="50"/>
      <c r="G125" s="50"/>
      <c r="H125" s="50">
        <v>150568.31</v>
      </c>
      <c r="I125" s="554"/>
      <c r="J125" s="554"/>
      <c r="K125" s="67"/>
      <c r="L125" s="67"/>
      <c r="M125" s="67"/>
      <c r="N125" s="67"/>
      <c r="O125" s="67"/>
      <c r="P125" s="67"/>
      <c r="Q125" s="67"/>
    </row>
    <row r="126" spans="1:17" s="68" customFormat="1" hidden="1" x14ac:dyDescent="0.25">
      <c r="A126" s="148"/>
      <c r="B126" s="48" t="s">
        <v>122</v>
      </c>
      <c r="C126" s="148"/>
      <c r="D126" s="156" t="s">
        <v>123</v>
      </c>
      <c r="E126" s="156"/>
      <c r="F126" s="50"/>
      <c r="G126" s="50"/>
      <c r="H126" s="50">
        <v>63743.31</v>
      </c>
      <c r="I126" s="554"/>
      <c r="J126" s="554"/>
      <c r="K126" s="67"/>
      <c r="L126" s="67"/>
      <c r="M126" s="67"/>
      <c r="N126" s="67"/>
      <c r="O126" s="67"/>
      <c r="P126" s="67"/>
      <c r="Q126" s="67"/>
    </row>
    <row r="127" spans="1:17" s="68" customFormat="1" hidden="1" x14ac:dyDescent="0.25">
      <c r="A127" s="148"/>
      <c r="B127" s="48" t="s">
        <v>124</v>
      </c>
      <c r="C127" s="148"/>
      <c r="D127" s="156" t="s">
        <v>125</v>
      </c>
      <c r="E127" s="156"/>
      <c r="F127" s="50"/>
      <c r="G127" s="50"/>
      <c r="H127" s="50">
        <v>19510.259999999998</v>
      </c>
      <c r="I127" s="554">
        <v>0</v>
      </c>
      <c r="J127" s="554"/>
      <c r="K127" s="67"/>
      <c r="L127" s="67"/>
      <c r="M127" s="67"/>
      <c r="N127" s="67"/>
      <c r="O127" s="67"/>
      <c r="P127" s="67"/>
      <c r="Q127" s="67"/>
    </row>
    <row r="128" spans="1:17" s="68" customFormat="1" hidden="1" x14ac:dyDescent="0.25">
      <c r="A128" s="148"/>
      <c r="B128" s="149" t="s">
        <v>126</v>
      </c>
      <c r="C128" s="148"/>
      <c r="D128" s="158" t="s">
        <v>127</v>
      </c>
      <c r="E128" s="158"/>
      <c r="F128" s="93">
        <f>SUM(F129:F137)</f>
        <v>0</v>
      </c>
      <c r="G128" s="93"/>
      <c r="H128" s="93">
        <f>SUM(H129:H137)</f>
        <v>3417555.09</v>
      </c>
      <c r="I128" s="552">
        <f>SUM(I129:I137)</f>
        <v>0</v>
      </c>
      <c r="J128" s="552"/>
      <c r="K128" s="67"/>
      <c r="L128" s="67"/>
      <c r="M128" s="67"/>
      <c r="N128" s="67"/>
      <c r="O128" s="67"/>
      <c r="P128" s="67"/>
      <c r="Q128" s="67"/>
    </row>
    <row r="129" spans="1:17" s="68" customFormat="1" hidden="1" x14ac:dyDescent="0.25">
      <c r="A129" s="148"/>
      <c r="B129" s="48" t="s">
        <v>128</v>
      </c>
      <c r="C129" s="148"/>
      <c r="D129" s="156" t="s">
        <v>129</v>
      </c>
      <c r="E129" s="156"/>
      <c r="F129" s="50"/>
      <c r="G129" s="50"/>
      <c r="H129" s="50">
        <v>186853.41</v>
      </c>
      <c r="I129" s="554"/>
      <c r="J129" s="554"/>
      <c r="L129" s="67"/>
      <c r="M129" s="67"/>
      <c r="N129" s="67"/>
      <c r="O129" s="67"/>
      <c r="P129" s="67"/>
      <c r="Q129" s="67"/>
    </row>
    <row r="130" spans="1:17" s="68" customFormat="1" hidden="1" x14ac:dyDescent="0.25">
      <c r="A130" s="148"/>
      <c r="B130" s="48" t="s">
        <v>130</v>
      </c>
      <c r="C130" s="148"/>
      <c r="D130" s="156" t="s">
        <v>131</v>
      </c>
      <c r="E130" s="156"/>
      <c r="F130" s="50"/>
      <c r="G130" s="50"/>
      <c r="H130" s="50">
        <v>307253.31</v>
      </c>
      <c r="I130" s="554"/>
      <c r="J130" s="554"/>
      <c r="K130" s="67"/>
      <c r="L130" s="67"/>
      <c r="M130" s="67"/>
      <c r="N130" s="67"/>
      <c r="O130" s="67"/>
      <c r="P130" s="67"/>
      <c r="Q130" s="67"/>
    </row>
    <row r="131" spans="1:17" s="68" customFormat="1" hidden="1" x14ac:dyDescent="0.25">
      <c r="A131" s="148"/>
      <c r="B131" s="48" t="s">
        <v>132</v>
      </c>
      <c r="C131" s="148"/>
      <c r="D131" s="156" t="s">
        <v>133</v>
      </c>
      <c r="E131" s="156"/>
      <c r="F131" s="50"/>
      <c r="G131" s="50"/>
      <c r="H131" s="50">
        <v>25250.65</v>
      </c>
      <c r="I131" s="554"/>
      <c r="J131" s="554"/>
      <c r="K131" s="67"/>
      <c r="L131" s="67"/>
      <c r="M131" s="67"/>
      <c r="N131" s="67"/>
      <c r="O131" s="67"/>
      <c r="P131" s="67"/>
      <c r="Q131" s="67"/>
    </row>
    <row r="132" spans="1:17" s="68" customFormat="1" hidden="1" x14ac:dyDescent="0.25">
      <c r="A132" s="148"/>
      <c r="B132" s="82" t="s">
        <v>134</v>
      </c>
      <c r="C132" s="21"/>
      <c r="D132" s="159" t="s">
        <v>135</v>
      </c>
      <c r="E132" s="159"/>
      <c r="F132" s="50"/>
      <c r="G132" s="50"/>
      <c r="H132" s="50">
        <v>772450.32</v>
      </c>
      <c r="I132" s="554"/>
      <c r="J132" s="554"/>
      <c r="K132" s="67"/>
      <c r="L132" s="67"/>
      <c r="M132" s="67"/>
      <c r="N132" s="67"/>
      <c r="O132" s="67"/>
      <c r="P132" s="67"/>
      <c r="Q132" s="67"/>
    </row>
    <row r="133" spans="1:17" s="68" customFormat="1" hidden="1" x14ac:dyDescent="0.25">
      <c r="A133" s="148"/>
      <c r="B133" s="82">
        <v>3235</v>
      </c>
      <c r="C133" s="21"/>
      <c r="D133" s="159" t="s">
        <v>136</v>
      </c>
      <c r="E133" s="159"/>
      <c r="F133" s="50"/>
      <c r="G133" s="50"/>
      <c r="H133" s="50">
        <v>122502.08</v>
      </c>
      <c r="I133" s="554"/>
      <c r="J133" s="554"/>
      <c r="K133" s="67"/>
      <c r="L133" s="67"/>
      <c r="M133" s="67"/>
      <c r="N133" s="67"/>
      <c r="O133" s="67"/>
      <c r="P133" s="67"/>
      <c r="Q133" s="67"/>
    </row>
    <row r="134" spans="1:17" s="68" customFormat="1" hidden="1" x14ac:dyDescent="0.25">
      <c r="A134" s="148"/>
      <c r="B134" s="82">
        <v>3236</v>
      </c>
      <c r="C134" s="21"/>
      <c r="D134" s="159" t="s">
        <v>137</v>
      </c>
      <c r="E134" s="159"/>
      <c r="F134" s="50"/>
      <c r="G134" s="50"/>
      <c r="H134" s="50">
        <v>677215.88</v>
      </c>
      <c r="I134" s="554"/>
      <c r="J134" s="554"/>
      <c r="K134" s="67"/>
      <c r="L134" s="67"/>
      <c r="M134" s="67"/>
      <c r="N134" s="67"/>
      <c r="O134" s="67"/>
      <c r="P134" s="67"/>
      <c r="Q134" s="67"/>
    </row>
    <row r="135" spans="1:17" s="68" customFormat="1" hidden="1" x14ac:dyDescent="0.25">
      <c r="A135" s="148"/>
      <c r="B135" s="82">
        <v>3237</v>
      </c>
      <c r="C135" s="21"/>
      <c r="D135" s="159" t="s">
        <v>138</v>
      </c>
      <c r="E135" s="159"/>
      <c r="F135" s="50"/>
      <c r="G135" s="50"/>
      <c r="H135" s="50">
        <v>771792.81</v>
      </c>
      <c r="I135" s="554"/>
      <c r="J135" s="554"/>
      <c r="K135" s="67"/>
      <c r="L135" s="67"/>
      <c r="M135" s="67"/>
      <c r="N135" s="67"/>
      <c r="O135" s="67"/>
      <c r="P135" s="67"/>
      <c r="Q135" s="67"/>
    </row>
    <row r="136" spans="1:17" s="68" customFormat="1" hidden="1" x14ac:dyDescent="0.25">
      <c r="A136" s="148"/>
      <c r="B136" s="82" t="s">
        <v>139</v>
      </c>
      <c r="C136" s="21"/>
      <c r="D136" s="159" t="s">
        <v>140</v>
      </c>
      <c r="E136" s="159"/>
      <c r="F136" s="50"/>
      <c r="G136" s="50"/>
      <c r="H136" s="50">
        <v>194855.26</v>
      </c>
      <c r="I136" s="554"/>
      <c r="J136" s="554"/>
      <c r="K136" s="67"/>
      <c r="L136" s="67"/>
      <c r="M136" s="67"/>
      <c r="N136" s="67"/>
      <c r="O136" s="67"/>
      <c r="P136" s="67"/>
      <c r="Q136" s="67"/>
    </row>
    <row r="137" spans="1:17" s="12" customFormat="1" hidden="1" x14ac:dyDescent="0.25">
      <c r="A137" s="143"/>
      <c r="B137" s="82" t="s">
        <v>141</v>
      </c>
      <c r="C137" s="21"/>
      <c r="D137" s="159" t="s">
        <v>142</v>
      </c>
      <c r="E137" s="159"/>
      <c r="F137" s="145"/>
      <c r="G137" s="145"/>
      <c r="H137" s="50">
        <v>359381.37</v>
      </c>
      <c r="I137" s="562"/>
      <c r="J137" s="562"/>
      <c r="K137" s="3"/>
      <c r="L137" s="3"/>
      <c r="M137" s="3"/>
      <c r="N137" s="3"/>
      <c r="O137" s="3"/>
      <c r="P137" s="3"/>
      <c r="Q137" s="3"/>
    </row>
    <row r="138" spans="1:17" s="12" customFormat="1" hidden="1" x14ac:dyDescent="0.25">
      <c r="A138" s="143"/>
      <c r="B138" s="53">
        <v>324</v>
      </c>
      <c r="C138" s="41"/>
      <c r="D138" s="55" t="s">
        <v>143</v>
      </c>
      <c r="E138" s="55"/>
      <c r="F138" s="93">
        <f>SUM(F139)</f>
        <v>0</v>
      </c>
      <c r="G138" s="93"/>
      <c r="H138" s="93">
        <f>SUM(H139)</f>
        <v>17784.86</v>
      </c>
      <c r="I138" s="552">
        <f>SUM(I139)</f>
        <v>0</v>
      </c>
      <c r="J138" s="552"/>
      <c r="K138" s="3"/>
      <c r="L138" s="3"/>
      <c r="M138" s="3"/>
      <c r="N138" s="3"/>
      <c r="O138" s="3"/>
      <c r="P138" s="3"/>
      <c r="Q138" s="3"/>
    </row>
    <row r="139" spans="1:17" s="12" customFormat="1" hidden="1" x14ac:dyDescent="0.25">
      <c r="A139" s="143"/>
      <c r="B139" s="57">
        <v>3241</v>
      </c>
      <c r="C139" s="41"/>
      <c r="D139" s="58" t="s">
        <v>143</v>
      </c>
      <c r="E139" s="58"/>
      <c r="F139" s="145"/>
      <c r="G139" s="145"/>
      <c r="H139" s="145">
        <v>17784.86</v>
      </c>
      <c r="I139" s="562">
        <v>0</v>
      </c>
      <c r="J139" s="562"/>
      <c r="K139" s="3"/>
      <c r="L139" s="3"/>
      <c r="M139" s="3"/>
      <c r="N139" s="3"/>
      <c r="O139" s="3"/>
      <c r="P139" s="3"/>
      <c r="Q139" s="3"/>
    </row>
    <row r="140" spans="1:17" s="12" customFormat="1" hidden="1" x14ac:dyDescent="0.25">
      <c r="A140" s="143"/>
      <c r="B140" s="79">
        <v>329</v>
      </c>
      <c r="C140" s="41"/>
      <c r="D140" s="160" t="s">
        <v>144</v>
      </c>
      <c r="E140" s="160"/>
      <c r="F140" s="93">
        <f>SUM(F141:F147)</f>
        <v>0</v>
      </c>
      <c r="G140" s="93"/>
      <c r="H140" s="93">
        <f>SUM(H141:H147)</f>
        <v>442917.91000000003</v>
      </c>
      <c r="I140" s="552">
        <f>SUM(I141:I147)</f>
        <v>0</v>
      </c>
      <c r="J140" s="552"/>
      <c r="K140" s="3"/>
      <c r="L140" s="3"/>
      <c r="M140" s="3"/>
      <c r="N140" s="3"/>
      <c r="O140" s="3"/>
      <c r="P140" s="3"/>
      <c r="Q140" s="3"/>
    </row>
    <row r="141" spans="1:17" s="12" customFormat="1" ht="30" hidden="1" x14ac:dyDescent="0.25">
      <c r="A141" s="143"/>
      <c r="B141" s="82" t="s">
        <v>145</v>
      </c>
      <c r="C141" s="21"/>
      <c r="D141" s="58" t="s">
        <v>146</v>
      </c>
      <c r="E141" s="58"/>
      <c r="F141" s="145"/>
      <c r="G141" s="145"/>
      <c r="H141" s="145">
        <v>54577.87</v>
      </c>
      <c r="I141" s="562"/>
      <c r="J141" s="562"/>
      <c r="K141" s="3"/>
      <c r="L141" s="3"/>
      <c r="M141" s="3"/>
      <c r="N141" s="3"/>
      <c r="O141" s="3"/>
      <c r="P141" s="3"/>
      <c r="Q141" s="3"/>
    </row>
    <row r="142" spans="1:17" s="12" customFormat="1" hidden="1" x14ac:dyDescent="0.25">
      <c r="A142" s="143"/>
      <c r="B142" s="82">
        <v>3292</v>
      </c>
      <c r="C142" s="21"/>
      <c r="D142" s="159" t="s">
        <v>147</v>
      </c>
      <c r="E142" s="159"/>
      <c r="F142" s="145"/>
      <c r="G142" s="145"/>
      <c r="H142" s="145">
        <v>215255.56</v>
      </c>
      <c r="I142" s="562"/>
      <c r="J142" s="562"/>
      <c r="K142" s="3"/>
      <c r="L142" s="3"/>
      <c r="M142" s="3"/>
      <c r="N142" s="3"/>
      <c r="O142" s="3"/>
      <c r="P142" s="3"/>
      <c r="Q142" s="3"/>
    </row>
    <row r="143" spans="1:17" s="12" customFormat="1" hidden="1" x14ac:dyDescent="0.25">
      <c r="A143" s="143"/>
      <c r="B143" s="82">
        <v>3293</v>
      </c>
      <c r="C143" s="21"/>
      <c r="D143" s="159" t="s">
        <v>148</v>
      </c>
      <c r="E143" s="159"/>
      <c r="F143" s="145"/>
      <c r="G143" s="145"/>
      <c r="H143" s="145">
        <v>9987.5300000000007</v>
      </c>
      <c r="I143" s="562"/>
      <c r="J143" s="562"/>
      <c r="K143" s="3"/>
      <c r="L143" s="3"/>
      <c r="M143" s="3"/>
      <c r="N143" s="3"/>
      <c r="O143" s="3"/>
      <c r="P143" s="3"/>
      <c r="Q143" s="3"/>
    </row>
    <row r="144" spans="1:17" s="12" customFormat="1" hidden="1" x14ac:dyDescent="0.25">
      <c r="A144" s="143"/>
      <c r="B144" s="82">
        <v>3294</v>
      </c>
      <c r="C144" s="21"/>
      <c r="D144" s="159" t="s">
        <v>149</v>
      </c>
      <c r="E144" s="159"/>
      <c r="F144" s="145"/>
      <c r="G144" s="145"/>
      <c r="H144" s="145">
        <v>17118.32</v>
      </c>
      <c r="I144" s="562"/>
      <c r="J144" s="562"/>
      <c r="K144" s="3"/>
      <c r="L144" s="3"/>
      <c r="M144" s="3"/>
      <c r="N144" s="3"/>
      <c r="O144" s="3"/>
      <c r="P144" s="3"/>
      <c r="Q144" s="3"/>
    </row>
    <row r="145" spans="1:17" s="12" customFormat="1" hidden="1" x14ac:dyDescent="0.25">
      <c r="A145" s="143"/>
      <c r="B145" s="161">
        <v>3295</v>
      </c>
      <c r="C145" s="21"/>
      <c r="D145" s="162" t="s">
        <v>150</v>
      </c>
      <c r="E145" s="162"/>
      <c r="F145" s="145"/>
      <c r="G145" s="145"/>
      <c r="H145" s="145">
        <v>64098.879999999997</v>
      </c>
      <c r="I145" s="562"/>
      <c r="J145" s="562"/>
      <c r="K145" s="3"/>
      <c r="L145" s="3"/>
      <c r="M145" s="3"/>
      <c r="N145" s="3"/>
      <c r="O145" s="3"/>
      <c r="P145" s="3"/>
      <c r="Q145" s="3"/>
    </row>
    <row r="146" spans="1:17" s="12" customFormat="1" hidden="1" x14ac:dyDescent="0.25">
      <c r="A146" s="143"/>
      <c r="B146" s="161">
        <v>3296</v>
      </c>
      <c r="C146" s="21"/>
      <c r="D146" s="162" t="s">
        <v>151</v>
      </c>
      <c r="E146" s="162"/>
      <c r="F146" s="145"/>
      <c r="G146" s="145"/>
      <c r="H146" s="145">
        <v>4645.3</v>
      </c>
      <c r="I146" s="562">
        <v>0</v>
      </c>
      <c r="J146" s="562"/>
      <c r="K146" s="3"/>
      <c r="L146" s="3"/>
      <c r="M146" s="3"/>
      <c r="N146" s="3"/>
      <c r="O146" s="3"/>
      <c r="P146" s="3"/>
      <c r="Q146" s="3"/>
    </row>
    <row r="147" spans="1:17" s="12" customFormat="1" hidden="1" x14ac:dyDescent="0.25">
      <c r="A147" s="143"/>
      <c r="B147" s="161" t="s">
        <v>152</v>
      </c>
      <c r="C147" s="21"/>
      <c r="D147" s="162" t="s">
        <v>144</v>
      </c>
      <c r="E147" s="162"/>
      <c r="F147" s="145"/>
      <c r="G147" s="145"/>
      <c r="H147" s="145">
        <v>77234.45</v>
      </c>
      <c r="I147" s="562"/>
      <c r="J147" s="562"/>
      <c r="K147" s="3"/>
      <c r="L147" s="3"/>
      <c r="M147" s="3"/>
      <c r="N147" s="3"/>
      <c r="O147" s="3"/>
      <c r="P147" s="3"/>
      <c r="Q147" s="3"/>
    </row>
    <row r="148" spans="1:17" s="12" customFormat="1" hidden="1" x14ac:dyDescent="0.25">
      <c r="A148" s="143"/>
      <c r="B148" s="22">
        <v>34</v>
      </c>
      <c r="C148" s="141"/>
      <c r="D148" s="142" t="s">
        <v>153</v>
      </c>
      <c r="E148" s="142"/>
      <c r="F148" s="92">
        <f>SUM(F149)</f>
        <v>0</v>
      </c>
      <c r="G148" s="92"/>
      <c r="H148" s="92">
        <f>SUM(H149)</f>
        <v>409928.04999999993</v>
      </c>
      <c r="I148" s="556">
        <f>SUM(I149)</f>
        <v>0</v>
      </c>
      <c r="J148" s="556"/>
      <c r="K148" s="3"/>
      <c r="L148" s="3"/>
      <c r="M148" s="3"/>
      <c r="N148" s="3"/>
      <c r="O148" s="3"/>
      <c r="P148" s="3"/>
      <c r="Q148" s="3"/>
    </row>
    <row r="149" spans="1:17" s="12" customFormat="1" hidden="1" x14ac:dyDescent="0.25">
      <c r="A149" s="143"/>
      <c r="B149" s="79">
        <v>343</v>
      </c>
      <c r="C149" s="41"/>
      <c r="D149" s="160" t="s">
        <v>154</v>
      </c>
      <c r="E149" s="160"/>
      <c r="F149" s="93">
        <f>SUM(F150:F152)</f>
        <v>0</v>
      </c>
      <c r="G149" s="93"/>
      <c r="H149" s="93">
        <f>SUM(H150:H152)</f>
        <v>409928.04999999993</v>
      </c>
      <c r="I149" s="552">
        <f>SUM(I150:I151)</f>
        <v>0</v>
      </c>
      <c r="J149" s="552"/>
      <c r="K149" s="3"/>
      <c r="L149" s="3"/>
      <c r="M149" s="3"/>
      <c r="N149" s="3"/>
      <c r="O149" s="3"/>
      <c r="P149" s="3"/>
      <c r="Q149" s="3"/>
    </row>
    <row r="150" spans="1:17" s="12" customFormat="1" hidden="1" x14ac:dyDescent="0.25">
      <c r="A150" s="143"/>
      <c r="B150" s="82" t="s">
        <v>155</v>
      </c>
      <c r="C150" s="21"/>
      <c r="D150" s="159" t="s">
        <v>156</v>
      </c>
      <c r="E150" s="159"/>
      <c r="F150" s="145"/>
      <c r="G150" s="145"/>
      <c r="H150" s="145">
        <v>67485.03</v>
      </c>
      <c r="I150" s="562"/>
      <c r="J150" s="562"/>
      <c r="K150" s="3"/>
      <c r="L150" s="3"/>
      <c r="M150" s="3"/>
      <c r="N150" s="3"/>
      <c r="O150" s="3"/>
      <c r="P150" s="3"/>
      <c r="Q150" s="3"/>
    </row>
    <row r="151" spans="1:17" s="12" customFormat="1" hidden="1" x14ac:dyDescent="0.25">
      <c r="A151" s="143"/>
      <c r="B151" s="161">
        <v>3433</v>
      </c>
      <c r="C151" s="21"/>
      <c r="D151" s="162" t="s">
        <v>157</v>
      </c>
      <c r="E151" s="162"/>
      <c r="F151" s="145"/>
      <c r="G151" s="145"/>
      <c r="H151" s="145">
        <v>342376.66</v>
      </c>
      <c r="I151" s="562"/>
      <c r="J151" s="562"/>
      <c r="K151" s="3"/>
      <c r="L151" s="3"/>
      <c r="M151" s="3"/>
      <c r="N151" s="3"/>
      <c r="O151" s="3"/>
      <c r="P151" s="3"/>
      <c r="Q151" s="3"/>
    </row>
    <row r="152" spans="1:17" s="12" customFormat="1" hidden="1" x14ac:dyDescent="0.25">
      <c r="A152" s="143"/>
      <c r="B152" s="161">
        <v>3434</v>
      </c>
      <c r="C152" s="21"/>
      <c r="D152" s="162" t="s">
        <v>158</v>
      </c>
      <c r="E152" s="162"/>
      <c r="F152" s="145">
        <v>0</v>
      </c>
      <c r="G152" s="145"/>
      <c r="H152" s="145">
        <v>66.36</v>
      </c>
      <c r="I152" s="562">
        <v>0</v>
      </c>
      <c r="J152" s="562"/>
      <c r="K152" s="3"/>
      <c r="L152" s="3"/>
      <c r="M152" s="3"/>
      <c r="N152" s="3"/>
      <c r="O152" s="3"/>
      <c r="P152" s="3"/>
      <c r="Q152" s="3"/>
    </row>
    <row r="153" spans="1:17" s="12" customFormat="1" hidden="1" x14ac:dyDescent="0.25">
      <c r="A153" s="143"/>
      <c r="B153" s="163">
        <v>36</v>
      </c>
      <c r="C153" s="120"/>
      <c r="D153" s="164" t="s">
        <v>159</v>
      </c>
      <c r="E153" s="164"/>
      <c r="F153" s="92">
        <f>F154</f>
        <v>0</v>
      </c>
      <c r="G153" s="92"/>
      <c r="H153" s="92">
        <f>H154</f>
        <v>7963.37</v>
      </c>
      <c r="I153" s="556">
        <f>I154</f>
        <v>0</v>
      </c>
      <c r="J153" s="556"/>
      <c r="K153" s="3"/>
      <c r="L153" s="3"/>
      <c r="M153" s="3"/>
      <c r="N153" s="3"/>
      <c r="O153" s="3"/>
      <c r="P153" s="3"/>
      <c r="Q153" s="3"/>
    </row>
    <row r="154" spans="1:17" s="12" customFormat="1" hidden="1" x14ac:dyDescent="0.25">
      <c r="A154" s="143"/>
      <c r="B154" s="165">
        <v>369</v>
      </c>
      <c r="C154" s="61"/>
      <c r="D154" s="166" t="s">
        <v>38</v>
      </c>
      <c r="E154" s="166"/>
      <c r="F154" s="93">
        <f>SUM(F156,F155)</f>
        <v>0</v>
      </c>
      <c r="G154" s="93"/>
      <c r="H154" s="93">
        <f>SUM(H156)</f>
        <v>7963.37</v>
      </c>
      <c r="I154" s="552">
        <f>SUM(I156)</f>
        <v>0</v>
      </c>
      <c r="J154" s="552"/>
      <c r="K154" s="3"/>
      <c r="L154" s="3"/>
      <c r="M154" s="3"/>
      <c r="N154" s="3"/>
      <c r="O154" s="3"/>
      <c r="P154" s="3"/>
      <c r="Q154" s="3"/>
    </row>
    <row r="155" spans="1:17" s="52" customFormat="1" hidden="1" x14ac:dyDescent="0.25">
      <c r="A155" s="167"/>
      <c r="B155" s="168">
        <v>3691</v>
      </c>
      <c r="C155" s="47"/>
      <c r="D155" s="169" t="s">
        <v>160</v>
      </c>
      <c r="E155" s="169"/>
      <c r="F155" s="50"/>
      <c r="G155" s="50"/>
      <c r="H155" s="50">
        <v>0</v>
      </c>
      <c r="I155" s="554">
        <v>0</v>
      </c>
      <c r="J155" s="554"/>
      <c r="K155" s="51"/>
      <c r="L155" s="51"/>
      <c r="M155" s="51"/>
      <c r="N155" s="51"/>
      <c r="O155" s="51"/>
      <c r="P155" s="51"/>
      <c r="Q155" s="51"/>
    </row>
    <row r="156" spans="1:17" s="12" customFormat="1" hidden="1" x14ac:dyDescent="0.25">
      <c r="A156" s="143"/>
      <c r="B156" s="161">
        <v>3692</v>
      </c>
      <c r="C156" s="21"/>
      <c r="D156" s="162" t="s">
        <v>161</v>
      </c>
      <c r="E156" s="162"/>
      <c r="F156" s="145">
        <v>0</v>
      </c>
      <c r="G156" s="145"/>
      <c r="H156" s="145">
        <v>7963.37</v>
      </c>
      <c r="I156" s="562">
        <v>0</v>
      </c>
      <c r="J156" s="562"/>
      <c r="K156" s="3"/>
      <c r="L156" s="3"/>
      <c r="M156" s="3"/>
      <c r="N156" s="3"/>
      <c r="O156" s="3"/>
      <c r="P156" s="3"/>
      <c r="Q156" s="3"/>
    </row>
    <row r="157" spans="1:17" s="12" customFormat="1" hidden="1" x14ac:dyDescent="0.25">
      <c r="A157" s="143"/>
      <c r="B157" s="163">
        <v>37</v>
      </c>
      <c r="C157" s="120"/>
      <c r="D157" s="170" t="s">
        <v>162</v>
      </c>
      <c r="E157" s="170"/>
      <c r="F157" s="92">
        <f t="shared" ref="F157:I158" si="33">SUM(F158)</f>
        <v>0</v>
      </c>
      <c r="G157" s="92"/>
      <c r="H157" s="92">
        <f t="shared" si="33"/>
        <v>0</v>
      </c>
      <c r="I157" s="556">
        <f t="shared" si="33"/>
        <v>0</v>
      </c>
      <c r="J157" s="556"/>
      <c r="K157" s="3"/>
      <c r="L157" s="3"/>
      <c r="M157" s="3"/>
      <c r="N157" s="3"/>
      <c r="O157" s="3"/>
      <c r="P157" s="3"/>
      <c r="Q157" s="3"/>
    </row>
    <row r="158" spans="1:17" s="12" customFormat="1" hidden="1" x14ac:dyDescent="0.25">
      <c r="A158" s="143"/>
      <c r="B158" s="165">
        <v>372</v>
      </c>
      <c r="C158" s="61"/>
      <c r="D158" s="171" t="s">
        <v>163</v>
      </c>
      <c r="E158" s="171"/>
      <c r="F158" s="93">
        <f t="shared" si="33"/>
        <v>0</v>
      </c>
      <c r="G158" s="93"/>
      <c r="H158" s="93">
        <f t="shared" si="33"/>
        <v>0</v>
      </c>
      <c r="I158" s="552">
        <f t="shared" si="33"/>
        <v>0</v>
      </c>
      <c r="J158" s="552"/>
      <c r="K158" s="3"/>
      <c r="L158" s="3"/>
      <c r="M158" s="3"/>
      <c r="N158" s="3"/>
      <c r="O158" s="3"/>
      <c r="P158" s="3"/>
      <c r="Q158" s="3"/>
    </row>
    <row r="159" spans="1:17" s="12" customFormat="1" hidden="1" x14ac:dyDescent="0.25">
      <c r="A159" s="143"/>
      <c r="B159" s="161">
        <v>3721</v>
      </c>
      <c r="C159" s="21"/>
      <c r="D159" s="172" t="s">
        <v>164</v>
      </c>
      <c r="E159" s="172"/>
      <c r="F159" s="145">
        <v>0</v>
      </c>
      <c r="G159" s="145"/>
      <c r="H159" s="145">
        <v>0</v>
      </c>
      <c r="I159" s="562"/>
      <c r="J159" s="562"/>
      <c r="K159" s="3"/>
      <c r="L159" s="3"/>
      <c r="M159" s="3"/>
      <c r="N159" s="3"/>
      <c r="O159" s="3"/>
      <c r="P159" s="3"/>
      <c r="Q159" s="3"/>
    </row>
    <row r="160" spans="1:17" s="12" customFormat="1" hidden="1" x14ac:dyDescent="0.25">
      <c r="A160" s="143"/>
      <c r="B160" s="22" t="s">
        <v>165</v>
      </c>
      <c r="C160" s="141"/>
      <c r="D160" s="142" t="s">
        <v>98</v>
      </c>
      <c r="E160" s="142"/>
      <c r="F160" s="92">
        <f>F163+F161</f>
        <v>0</v>
      </c>
      <c r="G160" s="92"/>
      <c r="H160" s="92">
        <f>H161+H163</f>
        <v>669408.59000000008</v>
      </c>
      <c r="I160" s="556">
        <f>I163+I161</f>
        <v>0</v>
      </c>
      <c r="J160" s="556"/>
      <c r="K160" s="3"/>
      <c r="L160" s="3"/>
      <c r="M160" s="3"/>
      <c r="N160" s="3"/>
      <c r="O160" s="3"/>
      <c r="P160" s="3"/>
      <c r="Q160" s="3"/>
    </row>
    <row r="161" spans="1:17" s="12" customFormat="1" hidden="1" x14ac:dyDescent="0.25">
      <c r="A161" s="143"/>
      <c r="B161" s="43" t="s">
        <v>166</v>
      </c>
      <c r="C161" s="105"/>
      <c r="D161" s="173" t="s">
        <v>167</v>
      </c>
      <c r="E161" s="173"/>
      <c r="F161" s="93">
        <f>F162</f>
        <v>0</v>
      </c>
      <c r="G161" s="93"/>
      <c r="H161" s="93">
        <f>H162</f>
        <v>485.64</v>
      </c>
      <c r="I161" s="552">
        <f>I162</f>
        <v>0</v>
      </c>
      <c r="J161" s="552"/>
      <c r="K161" s="3"/>
      <c r="L161" s="3"/>
      <c r="M161" s="3"/>
      <c r="N161" s="3"/>
      <c r="O161" s="3"/>
      <c r="P161" s="3"/>
      <c r="Q161" s="3"/>
    </row>
    <row r="162" spans="1:17" s="12" customFormat="1" hidden="1" x14ac:dyDescent="0.25">
      <c r="A162" s="143"/>
      <c r="B162" s="48" t="s">
        <v>168</v>
      </c>
      <c r="C162" s="167"/>
      <c r="D162" s="174" t="s">
        <v>167</v>
      </c>
      <c r="E162" s="174"/>
      <c r="F162" s="50"/>
      <c r="G162" s="50"/>
      <c r="H162" s="50">
        <v>485.64</v>
      </c>
      <c r="I162" s="554"/>
      <c r="J162" s="554"/>
      <c r="K162" s="3"/>
      <c r="L162" s="3"/>
      <c r="M162" s="3"/>
      <c r="N162" s="3"/>
      <c r="O162" s="3"/>
      <c r="P162" s="3"/>
      <c r="Q162" s="3"/>
    </row>
    <row r="163" spans="1:17" s="12" customFormat="1" hidden="1" x14ac:dyDescent="0.25">
      <c r="A163" s="143"/>
      <c r="B163" s="165">
        <v>383</v>
      </c>
      <c r="C163" s="61"/>
      <c r="D163" s="166" t="s">
        <v>169</v>
      </c>
      <c r="E163" s="166"/>
      <c r="F163" s="93">
        <f>SUM(F164:F167)</f>
        <v>0</v>
      </c>
      <c r="G163" s="93"/>
      <c r="H163" s="93">
        <f>SUM(H164:H167)</f>
        <v>668922.95000000007</v>
      </c>
      <c r="I163" s="552">
        <f>SUM(I164:I167)</f>
        <v>0</v>
      </c>
      <c r="J163" s="552"/>
      <c r="K163" s="3"/>
      <c r="L163" s="3"/>
      <c r="M163" s="3"/>
      <c r="N163" s="3"/>
      <c r="O163" s="3"/>
      <c r="P163" s="3"/>
      <c r="Q163" s="3"/>
    </row>
    <row r="164" spans="1:17" s="52" customFormat="1" hidden="1" x14ac:dyDescent="0.25">
      <c r="A164" s="167"/>
      <c r="B164" s="168">
        <v>3831</v>
      </c>
      <c r="C164" s="47"/>
      <c r="D164" s="169" t="s">
        <v>170</v>
      </c>
      <c r="E164" s="169"/>
      <c r="F164" s="50">
        <v>0</v>
      </c>
      <c r="G164" s="50"/>
      <c r="H164" s="50">
        <v>0</v>
      </c>
      <c r="I164" s="554">
        <v>0</v>
      </c>
      <c r="J164" s="554"/>
      <c r="K164" s="51"/>
      <c r="L164" s="51"/>
      <c r="M164" s="51"/>
      <c r="N164" s="51"/>
      <c r="O164" s="51"/>
      <c r="P164" s="51"/>
      <c r="Q164" s="51"/>
    </row>
    <row r="165" spans="1:17" s="12" customFormat="1" hidden="1" x14ac:dyDescent="0.25">
      <c r="A165" s="143"/>
      <c r="B165" s="161">
        <v>3833</v>
      </c>
      <c r="C165" s="21"/>
      <c r="D165" s="162" t="s">
        <v>171</v>
      </c>
      <c r="E165" s="162"/>
      <c r="F165" s="145"/>
      <c r="G165" s="145"/>
      <c r="H165" s="145">
        <v>663614.04</v>
      </c>
      <c r="I165" s="562">
        <v>0</v>
      </c>
      <c r="J165" s="562"/>
      <c r="K165" s="3"/>
      <c r="L165" s="3"/>
      <c r="M165" s="3"/>
      <c r="N165" s="3"/>
      <c r="O165" s="3"/>
      <c r="P165" s="3"/>
      <c r="Q165" s="3"/>
    </row>
    <row r="166" spans="1:17" s="12" customFormat="1" hidden="1" x14ac:dyDescent="0.25">
      <c r="A166" s="143"/>
      <c r="B166" s="161">
        <v>3834</v>
      </c>
      <c r="C166" s="21"/>
      <c r="D166" s="162" t="s">
        <v>172</v>
      </c>
      <c r="E166" s="162"/>
      <c r="F166" s="145"/>
      <c r="G166" s="145"/>
      <c r="H166" s="145">
        <v>5308.91</v>
      </c>
      <c r="I166" s="562">
        <v>0</v>
      </c>
      <c r="J166" s="562"/>
      <c r="K166" s="3"/>
      <c r="L166" s="3"/>
      <c r="M166" s="3"/>
      <c r="N166" s="3"/>
      <c r="O166" s="3"/>
      <c r="P166" s="3"/>
      <c r="Q166" s="3"/>
    </row>
    <row r="167" spans="1:17" s="12" customFormat="1" hidden="1" x14ac:dyDescent="0.25">
      <c r="A167" s="143"/>
      <c r="B167" s="161">
        <v>3835</v>
      </c>
      <c r="C167" s="21"/>
      <c r="D167" s="162" t="s">
        <v>173</v>
      </c>
      <c r="E167" s="162"/>
      <c r="F167" s="145"/>
      <c r="G167" s="145"/>
      <c r="H167" s="145">
        <v>0</v>
      </c>
      <c r="I167" s="562"/>
      <c r="J167" s="562"/>
      <c r="K167" s="3"/>
      <c r="L167" s="3"/>
      <c r="M167" s="3"/>
      <c r="N167" s="3"/>
      <c r="O167" s="3"/>
      <c r="P167" s="3"/>
      <c r="Q167" s="3"/>
    </row>
    <row r="168" spans="1:17" s="12" customFormat="1" hidden="1" x14ac:dyDescent="0.25">
      <c r="A168" s="175">
        <v>4</v>
      </c>
      <c r="B168" s="176"/>
      <c r="C168" s="177"/>
      <c r="D168" s="178" t="s">
        <v>174</v>
      </c>
      <c r="E168" s="178"/>
      <c r="F168" s="119">
        <f>F169+F174+F186</f>
        <v>0</v>
      </c>
      <c r="G168" s="119"/>
      <c r="H168" s="119">
        <f>H169+H174+H186</f>
        <v>272061.05</v>
      </c>
      <c r="I168" s="557">
        <f>I169+I174+I186</f>
        <v>0</v>
      </c>
      <c r="J168" s="557"/>
      <c r="K168" s="3"/>
      <c r="L168" s="3"/>
      <c r="M168" s="3"/>
      <c r="N168" s="3"/>
      <c r="O168" s="3"/>
      <c r="P168" s="3"/>
      <c r="Q168" s="3"/>
    </row>
    <row r="169" spans="1:17" s="12" customFormat="1" hidden="1" x14ac:dyDescent="0.25">
      <c r="A169" s="54"/>
      <c r="B169" s="22" t="s">
        <v>175</v>
      </c>
      <c r="C169" s="141"/>
      <c r="D169" s="179" t="s">
        <v>176</v>
      </c>
      <c r="E169" s="179"/>
      <c r="F169" s="92">
        <f>SUM(F172)</f>
        <v>0</v>
      </c>
      <c r="G169" s="92"/>
      <c r="H169" s="92">
        <f>SUM(H170,H172)</f>
        <v>4645.3</v>
      </c>
      <c r="I169" s="556">
        <f>SUM(I170,I172)</f>
        <v>0</v>
      </c>
      <c r="J169" s="556"/>
      <c r="K169" s="3"/>
      <c r="L169" s="3"/>
      <c r="M169" s="3"/>
      <c r="N169" s="3"/>
      <c r="O169" s="3"/>
      <c r="P169" s="3"/>
      <c r="Q169" s="3"/>
    </row>
    <row r="170" spans="1:17" s="12" customFormat="1" hidden="1" x14ac:dyDescent="0.25">
      <c r="A170" s="54"/>
      <c r="B170" s="149" t="s">
        <v>177</v>
      </c>
      <c r="C170" s="148"/>
      <c r="D170" s="180" t="s">
        <v>178</v>
      </c>
      <c r="E170" s="180"/>
      <c r="F170" s="93">
        <f>SUM(F171)</f>
        <v>0</v>
      </c>
      <c r="G170" s="93"/>
      <c r="H170" s="93">
        <f>SUM(H171)</f>
        <v>4645.3</v>
      </c>
      <c r="I170" s="552">
        <f>SUM(I171)</f>
        <v>0</v>
      </c>
      <c r="J170" s="552"/>
      <c r="K170" s="3"/>
      <c r="L170" s="3"/>
      <c r="M170" s="3"/>
      <c r="N170" s="3"/>
      <c r="O170" s="3"/>
      <c r="P170" s="3"/>
      <c r="Q170" s="3"/>
    </row>
    <row r="171" spans="1:17" s="12" customFormat="1" hidden="1" x14ac:dyDescent="0.25">
      <c r="A171" s="54"/>
      <c r="B171" s="48" t="s">
        <v>179</v>
      </c>
      <c r="C171" s="167"/>
      <c r="D171" s="181" t="s">
        <v>180</v>
      </c>
      <c r="E171" s="181"/>
      <c r="F171" s="50">
        <v>0</v>
      </c>
      <c r="G171" s="50"/>
      <c r="H171" s="50">
        <v>4645.3</v>
      </c>
      <c r="I171" s="554">
        <v>0</v>
      </c>
      <c r="J171" s="554"/>
      <c r="K171" s="3"/>
      <c r="L171" s="3"/>
      <c r="M171" s="3"/>
      <c r="N171" s="3"/>
      <c r="O171" s="3"/>
      <c r="P171" s="3"/>
      <c r="Q171" s="3"/>
    </row>
    <row r="172" spans="1:17" s="12" customFormat="1" hidden="1" x14ac:dyDescent="0.25">
      <c r="A172" s="54"/>
      <c r="B172" s="79">
        <v>412</v>
      </c>
      <c r="C172" s="53"/>
      <c r="D172" s="182" t="s">
        <v>181</v>
      </c>
      <c r="E172" s="182"/>
      <c r="F172" s="93">
        <f>SUM(F173)</f>
        <v>0</v>
      </c>
      <c r="G172" s="93"/>
      <c r="H172" s="93">
        <f>SUM(H173)</f>
        <v>0</v>
      </c>
      <c r="I172" s="552">
        <f>SUM(I173)</f>
        <v>0</v>
      </c>
      <c r="J172" s="552"/>
      <c r="K172" s="3"/>
      <c r="L172" s="3"/>
      <c r="M172" s="3"/>
      <c r="N172" s="3"/>
      <c r="O172" s="3"/>
      <c r="P172" s="3"/>
      <c r="Q172" s="3"/>
    </row>
    <row r="173" spans="1:17" s="52" customFormat="1" hidden="1" x14ac:dyDescent="0.25">
      <c r="A173" s="98"/>
      <c r="B173" s="183">
        <v>4123</v>
      </c>
      <c r="C173" s="64"/>
      <c r="D173" s="184" t="s">
        <v>182</v>
      </c>
      <c r="E173" s="184"/>
      <c r="F173" s="50">
        <v>0</v>
      </c>
      <c r="G173" s="50"/>
      <c r="H173" s="50">
        <v>0</v>
      </c>
      <c r="I173" s="554">
        <v>0</v>
      </c>
      <c r="J173" s="554"/>
      <c r="K173" s="51"/>
      <c r="L173" s="51"/>
      <c r="M173" s="51"/>
      <c r="N173" s="51"/>
      <c r="O173" s="51"/>
      <c r="P173" s="51"/>
      <c r="Q173" s="51"/>
    </row>
    <row r="174" spans="1:17" s="12" customFormat="1" hidden="1" x14ac:dyDescent="0.25">
      <c r="A174" s="143"/>
      <c r="B174" s="22">
        <v>42</v>
      </c>
      <c r="C174" s="141"/>
      <c r="D174" s="142" t="s">
        <v>183</v>
      </c>
      <c r="E174" s="142"/>
      <c r="F174" s="92">
        <f>SUM(F175,F182,F184)</f>
        <v>0</v>
      </c>
      <c r="G174" s="92"/>
      <c r="H174" s="92">
        <f>SUM(H175,H182)</f>
        <v>227532.54</v>
      </c>
      <c r="I174" s="556">
        <f>SUM(I175,I182,I184)</f>
        <v>0</v>
      </c>
      <c r="J174" s="556"/>
      <c r="K174" s="3"/>
      <c r="L174" s="3"/>
      <c r="M174" s="3"/>
      <c r="N174" s="3"/>
      <c r="O174" s="3"/>
      <c r="P174" s="3"/>
      <c r="Q174" s="3"/>
    </row>
    <row r="175" spans="1:17" s="12" customFormat="1" hidden="1" x14ac:dyDescent="0.25">
      <c r="A175" s="143"/>
      <c r="B175" s="43">
        <v>422</v>
      </c>
      <c r="C175" s="143"/>
      <c r="D175" s="105" t="s">
        <v>184</v>
      </c>
      <c r="E175" s="105"/>
      <c r="F175" s="93">
        <f>SUM(F176:F181)</f>
        <v>0</v>
      </c>
      <c r="G175" s="93"/>
      <c r="H175" s="93">
        <f>SUM(H176:H181)</f>
        <v>214260.26</v>
      </c>
      <c r="I175" s="552">
        <f>SUM(I176:I181)</f>
        <v>0</v>
      </c>
      <c r="J175" s="552"/>
      <c r="K175" s="3"/>
      <c r="L175" s="3"/>
      <c r="M175" s="3"/>
      <c r="N175" s="3"/>
      <c r="O175" s="3"/>
      <c r="P175" s="3"/>
      <c r="Q175" s="3"/>
    </row>
    <row r="176" spans="1:17" s="12" customFormat="1" hidden="1" x14ac:dyDescent="0.25">
      <c r="A176" s="143"/>
      <c r="B176" s="144" t="s">
        <v>185</v>
      </c>
      <c r="C176" s="143"/>
      <c r="D176" s="143" t="s">
        <v>186</v>
      </c>
      <c r="E176" s="143"/>
      <c r="F176" s="145"/>
      <c r="G176" s="145"/>
      <c r="H176" s="145">
        <v>53089.120000000003</v>
      </c>
      <c r="I176" s="562"/>
      <c r="J176" s="562"/>
      <c r="K176" s="3"/>
      <c r="L176" s="3"/>
      <c r="M176" s="3"/>
      <c r="N176" s="3"/>
      <c r="O176" s="3"/>
      <c r="P176" s="3"/>
      <c r="Q176" s="3"/>
    </row>
    <row r="177" spans="1:17" s="12" customFormat="1" hidden="1" x14ac:dyDescent="0.25">
      <c r="A177" s="143"/>
      <c r="B177" s="144" t="s">
        <v>187</v>
      </c>
      <c r="C177" s="143"/>
      <c r="D177" s="143" t="s">
        <v>188</v>
      </c>
      <c r="E177" s="143"/>
      <c r="F177" s="145"/>
      <c r="G177" s="145"/>
      <c r="H177" s="145">
        <v>0</v>
      </c>
      <c r="I177" s="562">
        <v>0</v>
      </c>
      <c r="J177" s="562"/>
      <c r="K177" s="3"/>
      <c r="L177" s="3"/>
      <c r="M177" s="3"/>
      <c r="N177" s="3"/>
      <c r="O177" s="3"/>
      <c r="P177" s="3"/>
      <c r="Q177" s="3"/>
    </row>
    <row r="178" spans="1:17" s="52" customFormat="1" hidden="1" x14ac:dyDescent="0.25">
      <c r="A178" s="98"/>
      <c r="B178" s="183">
        <v>4223</v>
      </c>
      <c r="C178" s="64"/>
      <c r="D178" s="184" t="s">
        <v>189</v>
      </c>
      <c r="E178" s="184"/>
      <c r="F178" s="50"/>
      <c r="G178" s="50"/>
      <c r="H178" s="50">
        <v>13272.28</v>
      </c>
      <c r="I178" s="554">
        <v>0</v>
      </c>
      <c r="J178" s="554"/>
      <c r="K178" s="51"/>
      <c r="L178" s="51"/>
      <c r="M178" s="51"/>
      <c r="N178" s="51"/>
      <c r="O178" s="51"/>
      <c r="P178" s="51"/>
      <c r="Q178" s="51"/>
    </row>
    <row r="179" spans="1:17" s="52" customFormat="1" hidden="1" x14ac:dyDescent="0.25">
      <c r="A179" s="98"/>
      <c r="B179" s="183">
        <v>4224</v>
      </c>
      <c r="C179" s="64"/>
      <c r="D179" s="184" t="s">
        <v>190</v>
      </c>
      <c r="E179" s="184"/>
      <c r="F179" s="50"/>
      <c r="G179" s="50"/>
      <c r="H179" s="50">
        <v>72201.210000000006</v>
      </c>
      <c r="I179" s="554"/>
      <c r="J179" s="554"/>
      <c r="K179" s="51"/>
      <c r="L179" s="51"/>
      <c r="M179" s="51"/>
      <c r="N179" s="51"/>
      <c r="O179" s="51"/>
      <c r="P179" s="51"/>
      <c r="Q179" s="51"/>
    </row>
    <row r="180" spans="1:17" s="52" customFormat="1" hidden="1" x14ac:dyDescent="0.25">
      <c r="A180" s="98"/>
      <c r="B180" s="183">
        <v>4225</v>
      </c>
      <c r="C180" s="64"/>
      <c r="D180" s="184" t="s">
        <v>191</v>
      </c>
      <c r="E180" s="184"/>
      <c r="F180" s="50"/>
      <c r="G180" s="50"/>
      <c r="H180" s="50">
        <v>71715.97</v>
      </c>
      <c r="I180" s="554">
        <v>0</v>
      </c>
      <c r="J180" s="554"/>
      <c r="K180" s="51"/>
      <c r="L180" s="51"/>
      <c r="M180" s="51"/>
      <c r="N180" s="51"/>
      <c r="O180" s="51"/>
      <c r="P180" s="51"/>
      <c r="Q180" s="51"/>
    </row>
    <row r="181" spans="1:17" s="52" customFormat="1" hidden="1" x14ac:dyDescent="0.25">
      <c r="A181" s="98"/>
      <c r="B181" s="183">
        <v>4227</v>
      </c>
      <c r="C181" s="64"/>
      <c r="D181" s="184" t="s">
        <v>192</v>
      </c>
      <c r="E181" s="184"/>
      <c r="F181" s="50">
        <v>0</v>
      </c>
      <c r="G181" s="50"/>
      <c r="H181" s="50">
        <v>3981.68</v>
      </c>
      <c r="I181" s="554">
        <v>0</v>
      </c>
      <c r="J181" s="554"/>
      <c r="K181" s="51"/>
      <c r="L181" s="51"/>
      <c r="M181" s="51"/>
      <c r="N181" s="51"/>
      <c r="O181" s="51"/>
      <c r="P181" s="51"/>
      <c r="Q181" s="51"/>
    </row>
    <row r="182" spans="1:17" s="68" customFormat="1" hidden="1" x14ac:dyDescent="0.25">
      <c r="A182" s="85"/>
      <c r="B182" s="185">
        <v>423</v>
      </c>
      <c r="C182" s="60"/>
      <c r="D182" s="186" t="s">
        <v>193</v>
      </c>
      <c r="E182" s="186"/>
      <c r="F182" s="93">
        <f>F183</f>
        <v>0</v>
      </c>
      <c r="G182" s="93"/>
      <c r="H182" s="93">
        <f>H183</f>
        <v>13272.28</v>
      </c>
      <c r="I182" s="552">
        <f>I183</f>
        <v>0</v>
      </c>
      <c r="J182" s="552"/>
      <c r="K182" s="67"/>
      <c r="L182" s="67"/>
      <c r="M182" s="67"/>
      <c r="N182" s="67"/>
      <c r="O182" s="67"/>
      <c r="P182" s="67"/>
      <c r="Q182" s="67"/>
    </row>
    <row r="183" spans="1:17" s="52" customFormat="1" hidden="1" x14ac:dyDescent="0.25">
      <c r="A183" s="98"/>
      <c r="B183" s="183">
        <v>4231</v>
      </c>
      <c r="C183" s="64"/>
      <c r="D183" s="184" t="s">
        <v>193</v>
      </c>
      <c r="E183" s="184"/>
      <c r="F183" s="50"/>
      <c r="G183" s="50"/>
      <c r="H183" s="50">
        <v>13272.28</v>
      </c>
      <c r="I183" s="554"/>
      <c r="J183" s="554"/>
      <c r="K183" s="51"/>
      <c r="L183" s="51"/>
      <c r="M183" s="51"/>
      <c r="N183" s="51"/>
      <c r="O183" s="51"/>
      <c r="P183" s="51"/>
      <c r="Q183" s="51"/>
    </row>
    <row r="184" spans="1:17" s="68" customFormat="1" hidden="1" x14ac:dyDescent="0.25">
      <c r="A184" s="85"/>
      <c r="B184" s="185">
        <v>426</v>
      </c>
      <c r="C184" s="60"/>
      <c r="D184" s="186" t="s">
        <v>194</v>
      </c>
      <c r="E184" s="186"/>
      <c r="F184" s="93">
        <f>F185</f>
        <v>0</v>
      </c>
      <c r="G184" s="93"/>
      <c r="H184" s="93">
        <f>H185</f>
        <v>0</v>
      </c>
      <c r="I184" s="552">
        <f>I185</f>
        <v>0</v>
      </c>
      <c r="J184" s="552"/>
      <c r="K184" s="67"/>
      <c r="L184" s="67"/>
      <c r="M184" s="67"/>
      <c r="N184" s="67"/>
      <c r="O184" s="67"/>
      <c r="P184" s="67"/>
      <c r="Q184" s="67"/>
    </row>
    <row r="185" spans="1:17" s="52" customFormat="1" hidden="1" x14ac:dyDescent="0.25">
      <c r="A185" s="98"/>
      <c r="B185" s="183">
        <v>4262</v>
      </c>
      <c r="C185" s="64"/>
      <c r="D185" s="184" t="s">
        <v>195</v>
      </c>
      <c r="E185" s="184"/>
      <c r="F185" s="50"/>
      <c r="G185" s="50"/>
      <c r="H185" s="50">
        <v>0</v>
      </c>
      <c r="I185" s="554">
        <v>0</v>
      </c>
      <c r="J185" s="554"/>
      <c r="K185" s="51"/>
      <c r="L185" s="51"/>
      <c r="M185" s="51"/>
      <c r="N185" s="51"/>
      <c r="O185" s="51"/>
      <c r="P185" s="51"/>
      <c r="Q185" s="51"/>
    </row>
    <row r="186" spans="1:17" s="52" customFormat="1" hidden="1" x14ac:dyDescent="0.25">
      <c r="A186" s="98"/>
      <c r="B186" s="22" t="s">
        <v>196</v>
      </c>
      <c r="C186" s="141"/>
      <c r="D186" s="179" t="s">
        <v>197</v>
      </c>
      <c r="E186" s="179"/>
      <c r="F186" s="92">
        <f>F187+F189</f>
        <v>0</v>
      </c>
      <c r="G186" s="92"/>
      <c r="H186" s="92">
        <f>H187</f>
        <v>39883.21</v>
      </c>
      <c r="I186" s="556">
        <f>I187</f>
        <v>0</v>
      </c>
      <c r="J186" s="556"/>
      <c r="K186" s="51"/>
      <c r="L186" s="51"/>
      <c r="M186" s="51"/>
      <c r="N186" s="51"/>
      <c r="O186" s="51"/>
      <c r="P186" s="51"/>
      <c r="Q186" s="51"/>
    </row>
    <row r="187" spans="1:17" s="52" customFormat="1" hidden="1" x14ac:dyDescent="0.25">
      <c r="A187" s="98"/>
      <c r="B187" s="43" t="s">
        <v>198</v>
      </c>
      <c r="C187" s="143"/>
      <c r="D187" s="105" t="s">
        <v>199</v>
      </c>
      <c r="E187" s="105"/>
      <c r="F187" s="93">
        <f>F188</f>
        <v>0</v>
      </c>
      <c r="G187" s="93"/>
      <c r="H187" s="93">
        <f>H188</f>
        <v>39883.21</v>
      </c>
      <c r="I187" s="552">
        <f>I188</f>
        <v>0</v>
      </c>
      <c r="J187" s="552"/>
      <c r="K187" s="51"/>
      <c r="L187" s="51"/>
      <c r="M187" s="51"/>
      <c r="N187" s="51"/>
      <c r="O187" s="51"/>
      <c r="P187" s="51"/>
      <c r="Q187" s="51"/>
    </row>
    <row r="188" spans="1:17" s="52" customFormat="1" hidden="1" x14ac:dyDescent="0.25">
      <c r="A188" s="98"/>
      <c r="B188" s="48" t="s">
        <v>200</v>
      </c>
      <c r="C188" s="167"/>
      <c r="D188" s="167" t="s">
        <v>199</v>
      </c>
      <c r="E188" s="167"/>
      <c r="F188" s="50"/>
      <c r="G188" s="50"/>
      <c r="H188" s="50">
        <f>21633.82+18249.39</f>
        <v>39883.21</v>
      </c>
      <c r="I188" s="554">
        <v>0</v>
      </c>
      <c r="J188" s="554"/>
      <c r="K188" s="51"/>
      <c r="L188" s="51"/>
      <c r="M188" s="51"/>
      <c r="N188" s="51"/>
      <c r="O188" s="51"/>
      <c r="P188" s="51"/>
      <c r="Q188" s="51"/>
    </row>
    <row r="189" spans="1:17" s="52" customFormat="1" hidden="1" x14ac:dyDescent="0.25">
      <c r="A189" s="98"/>
      <c r="B189" s="149" t="s">
        <v>201</v>
      </c>
      <c r="C189" s="148"/>
      <c r="D189" s="148" t="s">
        <v>202</v>
      </c>
      <c r="E189" s="148"/>
      <c r="F189" s="93">
        <f>F190</f>
        <v>0</v>
      </c>
      <c r="G189" s="93"/>
      <c r="H189" s="93">
        <f>H190</f>
        <v>0</v>
      </c>
      <c r="I189" s="552">
        <f>I190</f>
        <v>0</v>
      </c>
      <c r="J189" s="552"/>
      <c r="K189" s="51"/>
      <c r="L189" s="51"/>
      <c r="M189" s="51"/>
      <c r="N189" s="51"/>
      <c r="O189" s="51"/>
      <c r="P189" s="51"/>
      <c r="Q189" s="51"/>
    </row>
    <row r="190" spans="1:17" s="52" customFormat="1" hidden="1" x14ac:dyDescent="0.25">
      <c r="A190" s="98"/>
      <c r="B190" s="48" t="s">
        <v>203</v>
      </c>
      <c r="C190" s="167"/>
      <c r="D190" s="167" t="s">
        <v>204</v>
      </c>
      <c r="E190" s="167"/>
      <c r="F190" s="50"/>
      <c r="G190" s="50"/>
      <c r="H190" s="50">
        <v>0</v>
      </c>
      <c r="I190" s="554">
        <v>0</v>
      </c>
      <c r="J190" s="554"/>
      <c r="K190" s="51"/>
      <c r="L190" s="51"/>
      <c r="M190" s="51"/>
      <c r="N190" s="51"/>
      <c r="O190" s="51"/>
      <c r="P190" s="51"/>
      <c r="Q190" s="51"/>
    </row>
    <row r="191" spans="1:17" s="12" customFormat="1" hidden="1" x14ac:dyDescent="0.25">
      <c r="A191" s="187"/>
      <c r="B191" s="188"/>
      <c r="C191" s="36">
        <v>43</v>
      </c>
      <c r="D191" s="37" t="s">
        <v>56</v>
      </c>
      <c r="E191" s="37"/>
      <c r="F191" s="189">
        <f>F168+F104</f>
        <v>0</v>
      </c>
      <c r="G191" s="189"/>
      <c r="H191" s="189">
        <f>H168+H104</f>
        <v>59462511.659999989</v>
      </c>
      <c r="I191" s="565">
        <f>I168+I104</f>
        <v>0</v>
      </c>
      <c r="J191" s="565"/>
      <c r="K191" s="3"/>
      <c r="L191" s="3"/>
      <c r="M191" s="3"/>
      <c r="N191" s="3"/>
      <c r="O191" s="3"/>
      <c r="P191" s="3"/>
      <c r="Q191" s="3"/>
    </row>
    <row r="192" spans="1:17" s="12" customFormat="1" hidden="1" x14ac:dyDescent="0.25">
      <c r="A192" s="137" t="s">
        <v>86</v>
      </c>
      <c r="B192" s="137"/>
      <c r="C192" s="138"/>
      <c r="D192" s="139" t="s">
        <v>87</v>
      </c>
      <c r="E192" s="139"/>
      <c r="F192" s="140">
        <f>F193+F203+F234+F240+F243</f>
        <v>0</v>
      </c>
      <c r="G192" s="140"/>
      <c r="H192" s="140">
        <f>H193+H203+H240+H234+H243</f>
        <v>4824119.8499999996</v>
      </c>
      <c r="I192" s="561">
        <f>I193+I203+I234+I240+I243</f>
        <v>0</v>
      </c>
      <c r="J192" s="561"/>
      <c r="K192" s="3"/>
      <c r="L192" s="3"/>
      <c r="M192" s="3"/>
      <c r="N192" s="3"/>
      <c r="O192" s="3"/>
      <c r="P192" s="3"/>
      <c r="Q192" s="3"/>
    </row>
    <row r="193" spans="1:17" s="12" customFormat="1" hidden="1" x14ac:dyDescent="0.25">
      <c r="A193" s="105"/>
      <c r="B193" s="22">
        <v>31</v>
      </c>
      <c r="C193" s="141"/>
      <c r="D193" s="142" t="s">
        <v>88</v>
      </c>
      <c r="E193" s="142"/>
      <c r="F193" s="42">
        <f>F194+F199+F201</f>
        <v>0</v>
      </c>
      <c r="G193" s="42"/>
      <c r="H193" s="42">
        <f>H194+H199+H201</f>
        <v>1554293.06</v>
      </c>
      <c r="I193" s="550">
        <f>I194+I199+I201</f>
        <v>0</v>
      </c>
      <c r="J193" s="550"/>
      <c r="K193" s="3"/>
      <c r="L193" s="3"/>
      <c r="M193" s="3"/>
      <c r="N193" s="3"/>
      <c r="O193" s="3"/>
      <c r="P193" s="3"/>
      <c r="Q193" s="3"/>
    </row>
    <row r="194" spans="1:17" s="12" customFormat="1" hidden="1" x14ac:dyDescent="0.25">
      <c r="A194" s="105"/>
      <c r="B194" s="43">
        <v>311</v>
      </c>
      <c r="C194" s="143"/>
      <c r="D194" s="105" t="s">
        <v>89</v>
      </c>
      <c r="E194" s="105"/>
      <c r="F194" s="46">
        <f>SUM(F195:F198)</f>
        <v>0</v>
      </c>
      <c r="G194" s="46"/>
      <c r="H194" s="46">
        <f>SUM(H195:H198)</f>
        <v>1340372.43</v>
      </c>
      <c r="I194" s="551">
        <f>SUM(I195:I198)</f>
        <v>0</v>
      </c>
      <c r="J194" s="551"/>
      <c r="K194" s="3"/>
      <c r="L194" s="3"/>
      <c r="M194" s="3"/>
      <c r="N194" s="3"/>
      <c r="O194" s="3"/>
      <c r="P194" s="3"/>
      <c r="Q194" s="3"/>
    </row>
    <row r="195" spans="1:17" s="12" customFormat="1" hidden="1" x14ac:dyDescent="0.25">
      <c r="A195" s="143"/>
      <c r="B195" s="144">
        <v>3111</v>
      </c>
      <c r="C195" s="143"/>
      <c r="D195" s="143" t="s">
        <v>90</v>
      </c>
      <c r="E195" s="143"/>
      <c r="F195" s="145"/>
      <c r="G195" s="145"/>
      <c r="H195" s="145">
        <f>1263658.65+72997.54</f>
        <v>1336656.19</v>
      </c>
      <c r="I195" s="562"/>
      <c r="J195" s="562"/>
      <c r="K195" s="3"/>
      <c r="L195" s="3"/>
      <c r="M195" s="3"/>
      <c r="N195" s="3"/>
      <c r="O195" s="3"/>
      <c r="P195" s="3"/>
      <c r="Q195" s="3"/>
    </row>
    <row r="196" spans="1:17" s="20" customFormat="1" hidden="1" x14ac:dyDescent="0.25">
      <c r="A196" s="143"/>
      <c r="B196" s="144" t="s">
        <v>91</v>
      </c>
      <c r="C196" s="143"/>
      <c r="D196" s="143" t="s">
        <v>92</v>
      </c>
      <c r="E196" s="143"/>
      <c r="F196" s="145">
        <v>0</v>
      </c>
      <c r="G196" s="145"/>
      <c r="H196" s="145">
        <v>0</v>
      </c>
      <c r="I196" s="562">
        <v>0</v>
      </c>
      <c r="J196" s="562"/>
      <c r="K196" s="19"/>
      <c r="L196" s="19"/>
      <c r="M196" s="19"/>
      <c r="N196" s="19"/>
      <c r="O196" s="19"/>
      <c r="P196" s="19"/>
      <c r="Q196" s="19"/>
    </row>
    <row r="197" spans="1:17" s="20" customFormat="1" hidden="1" x14ac:dyDescent="0.25">
      <c r="A197" s="143"/>
      <c r="B197" s="144" t="s">
        <v>93</v>
      </c>
      <c r="C197" s="143"/>
      <c r="D197" s="143" t="s">
        <v>94</v>
      </c>
      <c r="E197" s="143"/>
      <c r="F197" s="145">
        <v>0</v>
      </c>
      <c r="G197" s="145"/>
      <c r="H197" s="145">
        <v>0</v>
      </c>
      <c r="I197" s="562">
        <v>0</v>
      </c>
      <c r="J197" s="562"/>
      <c r="K197" s="19"/>
      <c r="L197" s="19"/>
      <c r="M197" s="19"/>
      <c r="N197" s="19"/>
      <c r="O197" s="19"/>
      <c r="P197" s="19"/>
      <c r="Q197" s="19"/>
    </row>
    <row r="198" spans="1:17" s="12" customFormat="1" ht="15.75" hidden="1" customHeight="1" x14ac:dyDescent="0.25">
      <c r="A198" s="143"/>
      <c r="B198" s="144" t="s">
        <v>95</v>
      </c>
      <c r="C198" s="143"/>
      <c r="D198" s="143" t="s">
        <v>96</v>
      </c>
      <c r="E198" s="143"/>
      <c r="F198" s="145"/>
      <c r="G198" s="145"/>
      <c r="H198" s="145">
        <v>3716.24</v>
      </c>
      <c r="I198" s="562">
        <v>0</v>
      </c>
      <c r="J198" s="562"/>
      <c r="K198" s="3"/>
      <c r="L198" s="3"/>
      <c r="M198" s="3"/>
      <c r="N198" s="3"/>
      <c r="O198" s="3"/>
      <c r="P198" s="3"/>
      <c r="Q198" s="3"/>
    </row>
    <row r="199" spans="1:17" s="12" customFormat="1" ht="15.75" hidden="1" customHeight="1" x14ac:dyDescent="0.25">
      <c r="A199" s="148"/>
      <c r="B199" s="149" t="s">
        <v>97</v>
      </c>
      <c r="C199" s="148"/>
      <c r="D199" s="148" t="s">
        <v>98</v>
      </c>
      <c r="E199" s="148"/>
      <c r="F199" s="93">
        <f>SUM(F200)</f>
        <v>0</v>
      </c>
      <c r="G199" s="93"/>
      <c r="H199" s="93">
        <f>SUM(H200)</f>
        <v>124709.13</v>
      </c>
      <c r="I199" s="552">
        <f>SUM(I200)</f>
        <v>0</v>
      </c>
      <c r="J199" s="552"/>
      <c r="K199" s="3"/>
      <c r="L199" s="3"/>
      <c r="M199" s="3"/>
      <c r="N199" s="3"/>
      <c r="O199" s="3"/>
      <c r="P199" s="3"/>
      <c r="Q199" s="3"/>
    </row>
    <row r="200" spans="1:17" s="12" customFormat="1" ht="15.75" hidden="1" customHeight="1" x14ac:dyDescent="0.25">
      <c r="A200" s="143"/>
      <c r="B200" s="144" t="s">
        <v>99</v>
      </c>
      <c r="C200" s="143"/>
      <c r="D200" s="143" t="s">
        <v>98</v>
      </c>
      <c r="E200" s="143"/>
      <c r="F200" s="145"/>
      <c r="G200" s="145"/>
      <c r="H200" s="145">
        <f>118736.6+5972.53</f>
        <v>124709.13</v>
      </c>
      <c r="I200" s="562"/>
      <c r="J200" s="562"/>
      <c r="K200" s="3"/>
      <c r="L200" s="3"/>
      <c r="M200" s="3"/>
      <c r="N200" s="3"/>
      <c r="O200" s="3"/>
      <c r="P200" s="3"/>
      <c r="Q200" s="3"/>
    </row>
    <row r="201" spans="1:17" s="20" customFormat="1" ht="15.75" hidden="1" customHeight="1" x14ac:dyDescent="0.25">
      <c r="A201" s="105"/>
      <c r="B201" s="53">
        <v>313</v>
      </c>
      <c r="C201" s="105"/>
      <c r="D201" s="105" t="s">
        <v>100</v>
      </c>
      <c r="E201" s="105"/>
      <c r="F201" s="152">
        <f>SUM(F202:F202)</f>
        <v>0</v>
      </c>
      <c r="G201" s="152"/>
      <c r="H201" s="152">
        <f>SUM(H202:H202)</f>
        <v>89211.5</v>
      </c>
      <c r="I201" s="563">
        <f>SUM(I202:I202)</f>
        <v>0</v>
      </c>
      <c r="J201" s="563"/>
      <c r="K201" s="19"/>
      <c r="L201" s="19"/>
      <c r="M201" s="19"/>
      <c r="N201" s="19"/>
      <c r="O201" s="19"/>
      <c r="P201" s="19"/>
      <c r="Q201" s="19"/>
    </row>
    <row r="202" spans="1:17" s="20" customFormat="1" ht="15.75" hidden="1" customHeight="1" x14ac:dyDescent="0.25">
      <c r="A202" s="143"/>
      <c r="B202" s="57">
        <v>3132</v>
      </c>
      <c r="C202" s="143"/>
      <c r="D202" s="143" t="s">
        <v>101</v>
      </c>
      <c r="E202" s="143"/>
      <c r="F202" s="153"/>
      <c r="G202" s="153"/>
      <c r="H202" s="153">
        <f>69966.69+19244.81</f>
        <v>89211.5</v>
      </c>
      <c r="I202" s="564"/>
      <c r="J202" s="564"/>
      <c r="K202" s="19"/>
      <c r="L202" s="19"/>
      <c r="M202" s="19"/>
      <c r="N202" s="19"/>
      <c r="O202" s="19"/>
      <c r="P202" s="19"/>
      <c r="Q202" s="19"/>
    </row>
    <row r="203" spans="1:17" s="20" customFormat="1" ht="17.25" hidden="1" customHeight="1" x14ac:dyDescent="0.25">
      <c r="A203" s="105"/>
      <c r="B203" s="22">
        <v>32</v>
      </c>
      <c r="C203" s="141"/>
      <c r="D203" s="142" t="s">
        <v>102</v>
      </c>
      <c r="E203" s="142"/>
      <c r="F203" s="42">
        <f>F204+F209+F216+F226</f>
        <v>0</v>
      </c>
      <c r="G203" s="42"/>
      <c r="H203" s="42">
        <f>H204+H209+H216+H226</f>
        <v>3251678.54</v>
      </c>
      <c r="I203" s="550">
        <f>I204+I209+I216+I226</f>
        <v>0</v>
      </c>
      <c r="J203" s="550"/>
      <c r="K203" s="19"/>
      <c r="L203" s="19"/>
      <c r="M203" s="19"/>
      <c r="N203" s="19"/>
      <c r="O203" s="19"/>
      <c r="P203" s="19"/>
      <c r="Q203" s="19"/>
    </row>
    <row r="204" spans="1:17" s="20" customFormat="1" ht="15.75" hidden="1" customHeight="1" x14ac:dyDescent="0.25">
      <c r="A204" s="105"/>
      <c r="B204" s="43">
        <v>321</v>
      </c>
      <c r="C204" s="105"/>
      <c r="D204" s="105" t="s">
        <v>103</v>
      </c>
      <c r="E204" s="105"/>
      <c r="F204" s="46">
        <f>SUM(F205:F208)</f>
        <v>0</v>
      </c>
      <c r="G204" s="46"/>
      <c r="H204" s="46">
        <f>SUM(H205:H208)</f>
        <v>144375.34999999998</v>
      </c>
      <c r="I204" s="551">
        <f>SUM(I205:I208)</f>
        <v>0</v>
      </c>
      <c r="J204" s="551"/>
      <c r="K204" s="19"/>
      <c r="L204" s="19"/>
      <c r="M204" s="19"/>
      <c r="N204" s="19"/>
      <c r="O204" s="19"/>
      <c r="P204" s="19"/>
      <c r="Q204" s="19"/>
    </row>
    <row r="205" spans="1:17" s="20" customFormat="1" ht="15.75" hidden="1" customHeight="1" x14ac:dyDescent="0.25">
      <c r="A205" s="143"/>
      <c r="B205" s="144" t="s">
        <v>104</v>
      </c>
      <c r="C205" s="143"/>
      <c r="D205" s="143" t="s">
        <v>105</v>
      </c>
      <c r="E205" s="143"/>
      <c r="F205" s="145"/>
      <c r="G205" s="145"/>
      <c r="H205" s="145">
        <v>10269.299999999999</v>
      </c>
      <c r="I205" s="562"/>
      <c r="J205" s="562"/>
      <c r="K205" s="19"/>
      <c r="L205" s="19"/>
      <c r="M205" s="19"/>
      <c r="N205" s="19"/>
      <c r="O205" s="19"/>
      <c r="P205" s="19"/>
      <c r="Q205" s="19"/>
    </row>
    <row r="206" spans="1:17" s="20" customFormat="1" ht="15.75" hidden="1" customHeight="1" x14ac:dyDescent="0.25">
      <c r="A206" s="143"/>
      <c r="B206" s="144" t="s">
        <v>106</v>
      </c>
      <c r="C206" s="143"/>
      <c r="D206" s="156" t="s">
        <v>107</v>
      </c>
      <c r="E206" s="156"/>
      <c r="F206" s="145"/>
      <c r="G206" s="145"/>
      <c r="H206" s="145">
        <f>114312.43+9290.6</f>
        <v>123603.03</v>
      </c>
      <c r="I206" s="562"/>
      <c r="J206" s="562"/>
      <c r="K206" s="19"/>
      <c r="L206" s="19"/>
      <c r="M206" s="19"/>
      <c r="N206" s="19"/>
      <c r="O206" s="19"/>
      <c r="P206" s="19"/>
      <c r="Q206" s="19"/>
    </row>
    <row r="207" spans="1:17" s="20" customFormat="1" ht="15.75" hidden="1" customHeight="1" x14ac:dyDescent="0.25">
      <c r="A207" s="143"/>
      <c r="B207" s="144" t="s">
        <v>108</v>
      </c>
      <c r="C207" s="143"/>
      <c r="D207" s="156" t="s">
        <v>109</v>
      </c>
      <c r="E207" s="156"/>
      <c r="F207" s="145"/>
      <c r="G207" s="145"/>
      <c r="H207" s="145">
        <v>10503.02</v>
      </c>
      <c r="I207" s="562"/>
      <c r="J207" s="562"/>
      <c r="K207" s="19"/>
      <c r="L207" s="19"/>
      <c r="M207" s="19"/>
      <c r="N207" s="19"/>
      <c r="O207" s="19"/>
      <c r="P207" s="19"/>
      <c r="Q207" s="19"/>
    </row>
    <row r="208" spans="1:17" s="20" customFormat="1" ht="15.75" hidden="1" customHeight="1" x14ac:dyDescent="0.25">
      <c r="A208" s="143"/>
      <c r="B208" s="144" t="s">
        <v>110</v>
      </c>
      <c r="C208" s="143"/>
      <c r="D208" s="156" t="s">
        <v>111</v>
      </c>
      <c r="E208" s="156"/>
      <c r="F208" s="145">
        <v>0</v>
      </c>
      <c r="G208" s="145"/>
      <c r="H208" s="145">
        <v>0</v>
      </c>
      <c r="I208" s="562">
        <v>0</v>
      </c>
      <c r="J208" s="562"/>
      <c r="K208" s="19"/>
      <c r="L208" s="19"/>
      <c r="M208" s="19"/>
      <c r="N208" s="19"/>
      <c r="O208" s="19"/>
      <c r="P208" s="19"/>
      <c r="Q208" s="19"/>
    </row>
    <row r="209" spans="1:17" s="20" customFormat="1" ht="15.75" hidden="1" customHeight="1" x14ac:dyDescent="0.25">
      <c r="A209" s="148"/>
      <c r="B209" s="149" t="s">
        <v>112</v>
      </c>
      <c r="C209" s="148"/>
      <c r="D209" s="158" t="s">
        <v>113</v>
      </c>
      <c r="E209" s="158"/>
      <c r="F209" s="93">
        <f>SUM(F210:F215)</f>
        <v>0</v>
      </c>
      <c r="G209" s="93"/>
      <c r="H209" s="93">
        <f>SUM(H210:H215)</f>
        <v>2761826.91</v>
      </c>
      <c r="I209" s="552">
        <f>SUM(I210:I215)</f>
        <v>0</v>
      </c>
      <c r="J209" s="552"/>
      <c r="K209" s="19"/>
      <c r="L209" s="19"/>
      <c r="M209" s="19"/>
      <c r="N209" s="19"/>
      <c r="O209" s="19"/>
      <c r="P209" s="19"/>
      <c r="Q209" s="19"/>
    </row>
    <row r="210" spans="1:17" s="20" customFormat="1" ht="15.75" hidden="1" customHeight="1" x14ac:dyDescent="0.25">
      <c r="A210" s="148"/>
      <c r="B210" s="48" t="s">
        <v>114</v>
      </c>
      <c r="C210" s="148"/>
      <c r="D210" s="143" t="s">
        <v>115</v>
      </c>
      <c r="E210" s="143"/>
      <c r="F210" s="50"/>
      <c r="G210" s="50"/>
      <c r="H210" s="50">
        <f>7846.44+5308.91</f>
        <v>13155.349999999999</v>
      </c>
      <c r="I210" s="554"/>
      <c r="J210" s="554"/>
      <c r="K210" s="19"/>
      <c r="L210" s="19"/>
      <c r="M210" s="19"/>
      <c r="N210" s="19"/>
      <c r="O210" s="19"/>
      <c r="P210" s="19"/>
      <c r="Q210" s="19"/>
    </row>
    <row r="211" spans="1:17" s="12" customFormat="1" ht="15.75" hidden="1" customHeight="1" x14ac:dyDescent="0.25">
      <c r="A211" s="148"/>
      <c r="B211" s="48" t="s">
        <v>116</v>
      </c>
      <c r="C211" s="148"/>
      <c r="D211" s="143" t="s">
        <v>117</v>
      </c>
      <c r="E211" s="143"/>
      <c r="F211" s="50"/>
      <c r="G211" s="50"/>
      <c r="H211" s="50">
        <f>2489044.39+19908.42</f>
        <v>2508952.81</v>
      </c>
      <c r="I211" s="554"/>
      <c r="J211" s="554"/>
      <c r="K211" s="3"/>
      <c r="L211" s="3"/>
      <c r="M211" s="3"/>
      <c r="N211" s="3"/>
      <c r="O211" s="3"/>
      <c r="P211" s="3"/>
      <c r="Q211" s="3"/>
    </row>
    <row r="212" spans="1:17" s="12" customFormat="1" hidden="1" x14ac:dyDescent="0.25">
      <c r="A212" s="148"/>
      <c r="B212" s="48" t="s">
        <v>118</v>
      </c>
      <c r="C212" s="148"/>
      <c r="D212" s="143" t="s">
        <v>119</v>
      </c>
      <c r="E212" s="143"/>
      <c r="F212" s="50"/>
      <c r="G212" s="50"/>
      <c r="H212" s="50">
        <f>214555.97+4645.3</f>
        <v>219201.27</v>
      </c>
      <c r="I212" s="554"/>
      <c r="J212" s="554"/>
      <c r="K212" s="3"/>
      <c r="L212" s="3"/>
      <c r="M212" s="3"/>
      <c r="N212" s="3"/>
      <c r="O212" s="3"/>
      <c r="P212" s="3"/>
      <c r="Q212" s="3"/>
    </row>
    <row r="213" spans="1:17" s="20" customFormat="1" hidden="1" x14ac:dyDescent="0.25">
      <c r="A213" s="148"/>
      <c r="B213" s="48" t="s">
        <v>120</v>
      </c>
      <c r="C213" s="148"/>
      <c r="D213" s="156" t="s">
        <v>121</v>
      </c>
      <c r="E213" s="156"/>
      <c r="F213" s="50"/>
      <c r="G213" s="50"/>
      <c r="H213" s="50">
        <f>711.79+464.53</f>
        <v>1176.32</v>
      </c>
      <c r="I213" s="554"/>
      <c r="J213" s="554"/>
      <c r="K213" s="19"/>
      <c r="L213" s="19"/>
      <c r="M213" s="19"/>
      <c r="N213" s="19"/>
      <c r="O213" s="19"/>
      <c r="P213" s="19"/>
      <c r="Q213" s="19"/>
    </row>
    <row r="214" spans="1:17" s="20" customFormat="1" hidden="1" x14ac:dyDescent="0.25">
      <c r="A214" s="148"/>
      <c r="B214" s="48" t="s">
        <v>122</v>
      </c>
      <c r="C214" s="148"/>
      <c r="D214" s="156" t="s">
        <v>123</v>
      </c>
      <c r="E214" s="156"/>
      <c r="F214" s="50"/>
      <c r="G214" s="50"/>
      <c r="H214" s="50">
        <f>8059.72+1990.84</f>
        <v>10050.56</v>
      </c>
      <c r="I214" s="554"/>
      <c r="J214" s="554"/>
      <c r="K214" s="19"/>
      <c r="L214" s="19"/>
      <c r="M214" s="19"/>
      <c r="N214" s="19"/>
      <c r="O214" s="19"/>
      <c r="P214" s="19"/>
      <c r="Q214" s="19"/>
    </row>
    <row r="215" spans="1:17" s="20" customFormat="1" hidden="1" x14ac:dyDescent="0.25">
      <c r="A215" s="148"/>
      <c r="B215" s="48" t="s">
        <v>124</v>
      </c>
      <c r="C215" s="148"/>
      <c r="D215" s="156" t="s">
        <v>125</v>
      </c>
      <c r="E215" s="156"/>
      <c r="F215" s="50">
        <v>0</v>
      </c>
      <c r="G215" s="50"/>
      <c r="H215" s="50">
        <v>9290.6</v>
      </c>
      <c r="I215" s="554">
        <v>0</v>
      </c>
      <c r="J215" s="554"/>
      <c r="K215" s="19"/>
      <c r="L215" s="19"/>
      <c r="M215" s="19"/>
      <c r="N215" s="19"/>
      <c r="O215" s="19"/>
      <c r="P215" s="19"/>
      <c r="Q215" s="19"/>
    </row>
    <row r="216" spans="1:17" s="20" customFormat="1" hidden="1" x14ac:dyDescent="0.25">
      <c r="A216" s="148"/>
      <c r="B216" s="149" t="s">
        <v>126</v>
      </c>
      <c r="C216" s="148"/>
      <c r="D216" s="158" t="s">
        <v>127</v>
      </c>
      <c r="E216" s="158"/>
      <c r="F216" s="93">
        <f>SUM(F217:F225)</f>
        <v>0</v>
      </c>
      <c r="G216" s="93"/>
      <c r="H216" s="93">
        <f>SUM(H217:H225)</f>
        <v>254940.86</v>
      </c>
      <c r="I216" s="552">
        <f>SUM(I217:I225)</f>
        <v>0</v>
      </c>
      <c r="J216" s="552"/>
      <c r="K216" s="19"/>
      <c r="L216" s="19"/>
      <c r="M216" s="19"/>
      <c r="N216" s="19"/>
      <c r="O216" s="19"/>
      <c r="P216" s="19"/>
      <c r="Q216" s="19"/>
    </row>
    <row r="217" spans="1:17" s="20" customFormat="1" hidden="1" x14ac:dyDescent="0.25">
      <c r="A217" s="148"/>
      <c r="B217" s="48" t="s">
        <v>128</v>
      </c>
      <c r="C217" s="148"/>
      <c r="D217" s="156" t="s">
        <v>129</v>
      </c>
      <c r="E217" s="156"/>
      <c r="F217" s="50"/>
      <c r="G217" s="50"/>
      <c r="H217" s="50">
        <v>44747.89</v>
      </c>
      <c r="I217" s="554"/>
      <c r="J217" s="554"/>
      <c r="K217" s="19"/>
      <c r="L217" s="19"/>
      <c r="M217" s="19"/>
      <c r="N217" s="19"/>
      <c r="O217" s="19"/>
      <c r="P217" s="19"/>
      <c r="Q217" s="19"/>
    </row>
    <row r="218" spans="1:17" s="20" customFormat="1" hidden="1" x14ac:dyDescent="0.25">
      <c r="A218" s="148"/>
      <c r="B218" s="48" t="s">
        <v>130</v>
      </c>
      <c r="C218" s="148"/>
      <c r="D218" s="156" t="s">
        <v>131</v>
      </c>
      <c r="E218" s="156"/>
      <c r="F218" s="50"/>
      <c r="G218" s="50"/>
      <c r="H218" s="50">
        <f>71006.7+199.08</f>
        <v>71205.78</v>
      </c>
      <c r="I218" s="554"/>
      <c r="J218" s="554"/>
      <c r="K218" s="19"/>
      <c r="L218" s="19"/>
      <c r="M218" s="19"/>
      <c r="N218" s="19"/>
      <c r="O218" s="19"/>
      <c r="P218" s="19"/>
      <c r="Q218" s="19"/>
    </row>
    <row r="219" spans="1:17" s="20" customFormat="1" hidden="1" x14ac:dyDescent="0.25">
      <c r="A219" s="148"/>
      <c r="B219" s="48" t="s">
        <v>132</v>
      </c>
      <c r="C219" s="148"/>
      <c r="D219" s="156" t="s">
        <v>133</v>
      </c>
      <c r="E219" s="156"/>
      <c r="F219" s="50"/>
      <c r="G219" s="50"/>
      <c r="H219" s="50">
        <f>5939.21+663.61</f>
        <v>6602.82</v>
      </c>
      <c r="I219" s="554"/>
      <c r="J219" s="554"/>
      <c r="K219" s="19"/>
      <c r="L219" s="19"/>
      <c r="M219" s="19"/>
      <c r="N219" s="19"/>
      <c r="O219" s="19"/>
      <c r="P219" s="19"/>
      <c r="Q219" s="19"/>
    </row>
    <row r="220" spans="1:17" s="20" customFormat="1" hidden="1" x14ac:dyDescent="0.25">
      <c r="A220" s="148"/>
      <c r="B220" s="82" t="s">
        <v>134</v>
      </c>
      <c r="C220" s="21"/>
      <c r="D220" s="159" t="s">
        <v>135</v>
      </c>
      <c r="E220" s="159"/>
      <c r="F220" s="50"/>
      <c r="G220" s="50"/>
      <c r="H220" s="50">
        <v>7296.17</v>
      </c>
      <c r="I220" s="554"/>
      <c r="J220" s="554"/>
      <c r="K220" s="19"/>
      <c r="L220" s="19"/>
      <c r="M220" s="19"/>
      <c r="N220" s="19"/>
      <c r="O220" s="19"/>
      <c r="P220" s="19"/>
      <c r="Q220" s="19"/>
    </row>
    <row r="221" spans="1:17" s="20" customFormat="1" hidden="1" x14ac:dyDescent="0.25">
      <c r="A221" s="148"/>
      <c r="B221" s="82">
        <v>3235</v>
      </c>
      <c r="C221" s="21"/>
      <c r="D221" s="159" t="s">
        <v>136</v>
      </c>
      <c r="E221" s="159"/>
      <c r="F221" s="50"/>
      <c r="G221" s="50"/>
      <c r="H221" s="50">
        <v>1779.55</v>
      </c>
      <c r="I221" s="554"/>
      <c r="J221" s="554"/>
      <c r="K221" s="19"/>
      <c r="L221" s="19"/>
      <c r="M221" s="19"/>
      <c r="N221" s="19"/>
      <c r="O221" s="19"/>
      <c r="P221" s="19"/>
      <c r="Q221" s="19"/>
    </row>
    <row r="222" spans="1:17" s="20" customFormat="1" hidden="1" x14ac:dyDescent="0.25">
      <c r="A222" s="148"/>
      <c r="B222" s="82">
        <v>3236</v>
      </c>
      <c r="C222" s="21"/>
      <c r="D222" s="159" t="s">
        <v>137</v>
      </c>
      <c r="E222" s="159"/>
      <c r="F222" s="50"/>
      <c r="G222" s="50"/>
      <c r="H222" s="50">
        <v>2654.46</v>
      </c>
      <c r="I222" s="554"/>
      <c r="J222" s="554"/>
      <c r="K222" s="19"/>
      <c r="L222" s="19"/>
      <c r="M222" s="19"/>
      <c r="N222" s="19"/>
      <c r="O222" s="19"/>
      <c r="P222" s="19"/>
      <c r="Q222" s="19"/>
    </row>
    <row r="223" spans="1:17" s="20" customFormat="1" hidden="1" x14ac:dyDescent="0.25">
      <c r="A223" s="148"/>
      <c r="B223" s="82">
        <v>3237</v>
      </c>
      <c r="C223" s="21"/>
      <c r="D223" s="159" t="s">
        <v>138</v>
      </c>
      <c r="E223" s="159"/>
      <c r="F223" s="50"/>
      <c r="G223" s="50"/>
      <c r="H223" s="50">
        <v>80051.100000000006</v>
      </c>
      <c r="I223" s="554">
        <v>0</v>
      </c>
      <c r="J223" s="554"/>
      <c r="K223" s="19"/>
      <c r="L223" s="19"/>
      <c r="M223" s="19"/>
      <c r="N223" s="19"/>
      <c r="O223" s="19"/>
      <c r="P223" s="19"/>
      <c r="Q223" s="19"/>
    </row>
    <row r="224" spans="1:17" s="20" customFormat="1" hidden="1" x14ac:dyDescent="0.25">
      <c r="A224" s="148"/>
      <c r="B224" s="82" t="s">
        <v>139</v>
      </c>
      <c r="C224" s="21"/>
      <c r="D224" s="159" t="s">
        <v>140</v>
      </c>
      <c r="E224" s="159"/>
      <c r="F224" s="50"/>
      <c r="G224" s="50"/>
      <c r="H224" s="50">
        <v>20620.21</v>
      </c>
      <c r="I224" s="554"/>
      <c r="J224" s="554"/>
      <c r="K224" s="19"/>
      <c r="L224" s="19"/>
      <c r="M224" s="19"/>
      <c r="N224" s="19"/>
      <c r="O224" s="19"/>
      <c r="P224" s="19"/>
      <c r="Q224" s="19"/>
    </row>
    <row r="225" spans="1:17" s="20" customFormat="1" ht="13.9" hidden="1" customHeight="1" x14ac:dyDescent="0.25">
      <c r="A225" s="143"/>
      <c r="B225" s="82" t="s">
        <v>141</v>
      </c>
      <c r="C225" s="21"/>
      <c r="D225" s="159" t="s">
        <v>142</v>
      </c>
      <c r="E225" s="159"/>
      <c r="F225" s="145"/>
      <c r="G225" s="145"/>
      <c r="H225" s="50">
        <f>16664.81+3318.07</f>
        <v>19982.88</v>
      </c>
      <c r="I225" s="562"/>
      <c r="J225" s="562"/>
      <c r="K225" s="19"/>
      <c r="L225" s="19"/>
      <c r="M225" s="19"/>
      <c r="N225" s="19"/>
      <c r="O225" s="19"/>
      <c r="P225" s="19"/>
      <c r="Q225" s="19"/>
    </row>
    <row r="226" spans="1:17" s="12" customFormat="1" hidden="1" x14ac:dyDescent="0.25">
      <c r="A226" s="143"/>
      <c r="B226" s="79">
        <v>329</v>
      </c>
      <c r="C226" s="41"/>
      <c r="D226" s="160" t="s">
        <v>144</v>
      </c>
      <c r="E226" s="160"/>
      <c r="F226" s="93">
        <f>SUM(F227:F233)</f>
        <v>0</v>
      </c>
      <c r="G226" s="93"/>
      <c r="H226" s="93">
        <f>SUM(H227:H233)</f>
        <v>90535.42</v>
      </c>
      <c r="I226" s="552">
        <f>SUM(I227:I233)</f>
        <v>0</v>
      </c>
      <c r="J226" s="552"/>
      <c r="K226" s="3"/>
      <c r="L226" s="3"/>
      <c r="M226" s="3"/>
      <c r="N226" s="3"/>
      <c r="O226" s="3"/>
      <c r="P226" s="3"/>
      <c r="Q226" s="3"/>
    </row>
    <row r="227" spans="1:17" s="52" customFormat="1" ht="30" hidden="1" x14ac:dyDescent="0.25">
      <c r="A227" s="143"/>
      <c r="B227" s="82" t="s">
        <v>145</v>
      </c>
      <c r="C227" s="21"/>
      <c r="D227" s="58" t="s">
        <v>146</v>
      </c>
      <c r="E227" s="58"/>
      <c r="F227" s="145"/>
      <c r="G227" s="145"/>
      <c r="H227" s="145">
        <v>2758.38</v>
      </c>
      <c r="I227" s="562"/>
      <c r="J227" s="562"/>
      <c r="K227" s="51"/>
      <c r="L227" s="51"/>
      <c r="M227" s="51"/>
      <c r="N227" s="51"/>
      <c r="O227" s="51"/>
      <c r="P227" s="51"/>
      <c r="Q227" s="51"/>
    </row>
    <row r="228" spans="1:17" s="52" customFormat="1" hidden="1" x14ac:dyDescent="0.25">
      <c r="A228" s="143"/>
      <c r="B228" s="82">
        <v>3292</v>
      </c>
      <c r="C228" s="21"/>
      <c r="D228" s="159" t="s">
        <v>147</v>
      </c>
      <c r="E228" s="159"/>
      <c r="F228" s="145"/>
      <c r="G228" s="145"/>
      <c r="H228" s="145">
        <v>26299.96</v>
      </c>
      <c r="I228" s="562"/>
      <c r="J228" s="562"/>
      <c r="K228" s="51"/>
      <c r="L228" s="51"/>
      <c r="M228" s="51"/>
      <c r="N228" s="51"/>
      <c r="O228" s="51"/>
      <c r="P228" s="51"/>
      <c r="Q228" s="51"/>
    </row>
    <row r="229" spans="1:17" s="12" customFormat="1" hidden="1" x14ac:dyDescent="0.25">
      <c r="A229" s="143"/>
      <c r="B229" s="82">
        <v>3293</v>
      </c>
      <c r="C229" s="21"/>
      <c r="D229" s="159" t="s">
        <v>148</v>
      </c>
      <c r="E229" s="159"/>
      <c r="F229" s="145"/>
      <c r="G229" s="145"/>
      <c r="H229" s="145">
        <f>8593.67+1327.23</f>
        <v>9920.9</v>
      </c>
      <c r="I229" s="562"/>
      <c r="J229" s="562"/>
      <c r="K229" s="3"/>
      <c r="L229" s="3"/>
      <c r="M229" s="3"/>
      <c r="N229" s="3"/>
      <c r="O229" s="3"/>
      <c r="P229" s="3"/>
      <c r="Q229" s="3"/>
    </row>
    <row r="230" spans="1:17" s="191" customFormat="1" hidden="1" x14ac:dyDescent="0.25">
      <c r="A230" s="143"/>
      <c r="B230" s="82">
        <v>3294</v>
      </c>
      <c r="C230" s="21"/>
      <c r="D230" s="159" t="s">
        <v>149</v>
      </c>
      <c r="E230" s="159"/>
      <c r="F230" s="145"/>
      <c r="G230" s="145"/>
      <c r="H230" s="145">
        <v>3188.27</v>
      </c>
      <c r="I230" s="562"/>
      <c r="J230" s="562"/>
      <c r="K230" s="190"/>
      <c r="L230" s="190"/>
      <c r="M230" s="190"/>
      <c r="N230" s="190"/>
      <c r="O230" s="190"/>
      <c r="P230" s="190"/>
      <c r="Q230" s="190"/>
    </row>
    <row r="231" spans="1:17" s="193" customFormat="1" hidden="1" x14ac:dyDescent="0.25">
      <c r="A231" s="143"/>
      <c r="B231" s="161">
        <v>3295</v>
      </c>
      <c r="C231" s="21"/>
      <c r="D231" s="162" t="s">
        <v>150</v>
      </c>
      <c r="E231" s="162"/>
      <c r="F231" s="145"/>
      <c r="G231" s="145"/>
      <c r="H231" s="145">
        <v>8237.7099999999991</v>
      </c>
      <c r="I231" s="562"/>
      <c r="J231" s="562"/>
      <c r="K231" s="192"/>
      <c r="L231" s="192"/>
      <c r="M231" s="192"/>
      <c r="N231" s="192"/>
      <c r="O231" s="192"/>
      <c r="P231" s="192"/>
      <c r="Q231" s="192"/>
    </row>
    <row r="232" spans="1:17" s="195" customFormat="1" hidden="1" x14ac:dyDescent="0.25">
      <c r="A232" s="143"/>
      <c r="B232" s="161">
        <v>3296</v>
      </c>
      <c r="C232" s="21"/>
      <c r="D232" s="162" t="s">
        <v>151</v>
      </c>
      <c r="E232" s="162"/>
      <c r="F232" s="145"/>
      <c r="G232" s="145"/>
      <c r="H232" s="145">
        <v>39816.839999999997</v>
      </c>
      <c r="I232" s="562">
        <v>0</v>
      </c>
      <c r="J232" s="562"/>
      <c r="K232" s="194"/>
      <c r="L232" s="194"/>
      <c r="M232" s="194"/>
      <c r="N232" s="194"/>
      <c r="O232" s="194"/>
      <c r="P232" s="194"/>
      <c r="Q232" s="194"/>
    </row>
    <row r="233" spans="1:17" s="195" customFormat="1" hidden="1" x14ac:dyDescent="0.25">
      <c r="A233" s="143"/>
      <c r="B233" s="161" t="s">
        <v>152</v>
      </c>
      <c r="C233" s="21"/>
      <c r="D233" s="162" t="s">
        <v>144</v>
      </c>
      <c r="E233" s="162"/>
      <c r="F233" s="145"/>
      <c r="G233" s="145"/>
      <c r="H233" s="145">
        <v>313.36</v>
      </c>
      <c r="I233" s="562"/>
      <c r="J233" s="562"/>
      <c r="K233" s="194"/>
      <c r="L233" s="194"/>
      <c r="M233" s="194"/>
      <c r="N233" s="194"/>
      <c r="O233" s="194"/>
      <c r="P233" s="194"/>
      <c r="Q233" s="194"/>
    </row>
    <row r="234" spans="1:17" s="195" customFormat="1" hidden="1" x14ac:dyDescent="0.25">
      <c r="A234" s="143"/>
      <c r="B234" s="22">
        <v>34</v>
      </c>
      <c r="C234" s="141"/>
      <c r="D234" s="142" t="s">
        <v>153</v>
      </c>
      <c r="E234" s="142"/>
      <c r="F234" s="92">
        <f>SUM(F235)</f>
        <v>0</v>
      </c>
      <c r="G234" s="92"/>
      <c r="H234" s="92">
        <f>SUM(H235)</f>
        <v>9476.01</v>
      </c>
      <c r="I234" s="556">
        <f>SUM(I235)</f>
        <v>0</v>
      </c>
      <c r="J234" s="556"/>
      <c r="K234" s="194"/>
      <c r="L234" s="194"/>
      <c r="M234" s="194"/>
      <c r="N234" s="194"/>
      <c r="O234" s="194"/>
      <c r="P234" s="194"/>
      <c r="Q234" s="194"/>
    </row>
    <row r="235" spans="1:17" s="195" customFormat="1" hidden="1" x14ac:dyDescent="0.25">
      <c r="A235" s="143"/>
      <c r="B235" s="79">
        <v>343</v>
      </c>
      <c r="C235" s="41"/>
      <c r="D235" s="160" t="s">
        <v>154</v>
      </c>
      <c r="E235" s="160"/>
      <c r="F235" s="93">
        <f>SUM(F236:F239)</f>
        <v>0</v>
      </c>
      <c r="G235" s="93"/>
      <c r="H235" s="93">
        <f>SUM(H236:H239)</f>
        <v>9476.01</v>
      </c>
      <c r="I235" s="552">
        <f>SUM(I236:I239)</f>
        <v>0</v>
      </c>
      <c r="J235" s="552"/>
      <c r="K235" s="194"/>
      <c r="L235" s="194"/>
      <c r="M235" s="194"/>
      <c r="N235" s="194"/>
      <c r="O235" s="194"/>
      <c r="P235" s="194"/>
      <c r="Q235" s="194"/>
    </row>
    <row r="236" spans="1:17" s="134" customFormat="1" hidden="1" x14ac:dyDescent="0.25">
      <c r="A236" s="143"/>
      <c r="B236" s="82" t="s">
        <v>155</v>
      </c>
      <c r="C236" s="21"/>
      <c r="D236" s="159" t="s">
        <v>156</v>
      </c>
      <c r="E236" s="159"/>
      <c r="F236" s="145"/>
      <c r="G236" s="145"/>
      <c r="H236" s="145">
        <v>7436.99</v>
      </c>
      <c r="I236" s="562"/>
      <c r="J236" s="562"/>
      <c r="K236" s="196"/>
      <c r="L236" s="196"/>
      <c r="M236" s="196"/>
      <c r="N236" s="196"/>
      <c r="O236" s="196"/>
      <c r="P236" s="196"/>
      <c r="Q236" s="196"/>
    </row>
    <row r="237" spans="1:17" s="134" customFormat="1" hidden="1" x14ac:dyDescent="0.25">
      <c r="A237" s="143"/>
      <c r="B237" s="82">
        <v>3432</v>
      </c>
      <c r="C237" s="21"/>
      <c r="D237" s="159" t="s">
        <v>205</v>
      </c>
      <c r="E237" s="159"/>
      <c r="F237" s="145"/>
      <c r="G237" s="145"/>
      <c r="H237" s="145">
        <v>0</v>
      </c>
      <c r="I237" s="562">
        <v>0</v>
      </c>
      <c r="J237" s="562"/>
      <c r="K237" s="196"/>
      <c r="L237" s="196"/>
      <c r="M237" s="196"/>
      <c r="N237" s="196"/>
      <c r="O237" s="196"/>
      <c r="P237" s="196"/>
      <c r="Q237" s="196"/>
    </row>
    <row r="238" spans="1:17" s="191" customFormat="1" hidden="1" x14ac:dyDescent="0.25">
      <c r="A238" s="143"/>
      <c r="B238" s="161">
        <v>3433</v>
      </c>
      <c r="C238" s="21"/>
      <c r="D238" s="162" t="s">
        <v>157</v>
      </c>
      <c r="E238" s="162"/>
      <c r="F238" s="145"/>
      <c r="G238" s="145"/>
      <c r="H238" s="145">
        <v>711.79</v>
      </c>
      <c r="I238" s="562"/>
      <c r="J238" s="562"/>
      <c r="K238" s="190"/>
      <c r="L238" s="190"/>
      <c r="M238" s="190"/>
      <c r="N238" s="190"/>
      <c r="O238" s="190"/>
      <c r="P238" s="190"/>
      <c r="Q238" s="190"/>
    </row>
    <row r="239" spans="1:17" s="191" customFormat="1" hidden="1" x14ac:dyDescent="0.25">
      <c r="A239" s="143"/>
      <c r="B239" s="161">
        <v>3434</v>
      </c>
      <c r="C239" s="21"/>
      <c r="D239" s="162" t="s">
        <v>158</v>
      </c>
      <c r="E239" s="162"/>
      <c r="F239" s="145"/>
      <c r="G239" s="145"/>
      <c r="H239" s="145">
        <v>1327.23</v>
      </c>
      <c r="I239" s="562">
        <v>0</v>
      </c>
      <c r="J239" s="562"/>
      <c r="K239" s="190"/>
      <c r="L239" s="190"/>
      <c r="M239" s="190"/>
      <c r="N239" s="190"/>
      <c r="O239" s="190"/>
      <c r="P239" s="190"/>
      <c r="Q239" s="190"/>
    </row>
    <row r="240" spans="1:17" s="195" customFormat="1" hidden="1" x14ac:dyDescent="0.25">
      <c r="A240" s="143"/>
      <c r="B240" s="197">
        <v>37</v>
      </c>
      <c r="C240" s="198"/>
      <c r="D240" s="199" t="s">
        <v>162</v>
      </c>
      <c r="E240" s="199"/>
      <c r="F240" s="92">
        <f t="shared" ref="F240:I241" si="34">SUM(F241)</f>
        <v>0</v>
      </c>
      <c r="G240" s="92"/>
      <c r="H240" s="92">
        <f t="shared" si="34"/>
        <v>6901.58</v>
      </c>
      <c r="I240" s="556">
        <f t="shared" si="34"/>
        <v>0</v>
      </c>
      <c r="J240" s="556"/>
      <c r="K240" s="194"/>
      <c r="L240" s="194"/>
      <c r="M240" s="194"/>
      <c r="N240" s="194"/>
      <c r="O240" s="194"/>
      <c r="P240" s="194"/>
      <c r="Q240" s="194"/>
    </row>
    <row r="241" spans="1:17" s="195" customFormat="1" hidden="1" x14ac:dyDescent="0.25">
      <c r="A241" s="143"/>
      <c r="B241" s="200">
        <v>372</v>
      </c>
      <c r="C241" s="201"/>
      <c r="D241" s="202" t="s">
        <v>163</v>
      </c>
      <c r="E241" s="202"/>
      <c r="F241" s="93">
        <f t="shared" si="34"/>
        <v>0</v>
      </c>
      <c r="G241" s="93"/>
      <c r="H241" s="93">
        <f t="shared" si="34"/>
        <v>6901.58</v>
      </c>
      <c r="I241" s="552">
        <f t="shared" si="34"/>
        <v>0</v>
      </c>
      <c r="J241" s="552"/>
      <c r="K241" s="194"/>
      <c r="L241" s="194"/>
      <c r="M241" s="194"/>
      <c r="N241" s="194"/>
      <c r="O241" s="194"/>
      <c r="P241" s="194"/>
      <c r="Q241" s="194"/>
    </row>
    <row r="242" spans="1:17" s="206" customFormat="1" ht="15.75" hidden="1" x14ac:dyDescent="0.25">
      <c r="A242" s="143"/>
      <c r="B242" s="203">
        <v>3721</v>
      </c>
      <c r="C242" s="204"/>
      <c r="D242" s="205" t="s">
        <v>164</v>
      </c>
      <c r="E242" s="205"/>
      <c r="F242" s="145"/>
      <c r="G242" s="145"/>
      <c r="H242" s="145">
        <v>6901.58</v>
      </c>
      <c r="I242" s="562"/>
      <c r="J242" s="562"/>
    </row>
    <row r="243" spans="1:17" hidden="1" x14ac:dyDescent="0.25">
      <c r="A243" s="143"/>
      <c r="B243" s="22" t="s">
        <v>165</v>
      </c>
      <c r="C243" s="141"/>
      <c r="D243" s="142" t="s">
        <v>98</v>
      </c>
      <c r="E243" s="142"/>
      <c r="F243" s="92">
        <f>F246+F244</f>
        <v>0</v>
      </c>
      <c r="G243" s="92"/>
      <c r="H243" s="92">
        <f>H244+H246</f>
        <v>1770.66</v>
      </c>
      <c r="I243" s="556">
        <f>I244+I246</f>
        <v>0</v>
      </c>
      <c r="J243" s="556"/>
      <c r="K243" s="67"/>
      <c r="L243" s="103"/>
    </row>
    <row r="244" spans="1:17" hidden="1" x14ac:dyDescent="0.25">
      <c r="A244" s="143"/>
      <c r="B244" s="149" t="s">
        <v>166</v>
      </c>
      <c r="C244" s="148"/>
      <c r="D244" s="207" t="s">
        <v>68</v>
      </c>
      <c r="E244" s="207"/>
      <c r="F244" s="93">
        <f>SUM(F245)</f>
        <v>0</v>
      </c>
      <c r="G244" s="93"/>
      <c r="H244" s="93">
        <f>SUM(H245)</f>
        <v>1505.21</v>
      </c>
      <c r="I244" s="552">
        <f>SUM(I245)</f>
        <v>0</v>
      </c>
      <c r="J244" s="552"/>
      <c r="K244" s="67"/>
      <c r="L244" s="103"/>
    </row>
    <row r="245" spans="1:17" hidden="1" x14ac:dyDescent="0.25">
      <c r="A245" s="143"/>
      <c r="B245" s="48" t="s">
        <v>168</v>
      </c>
      <c r="C245" s="167"/>
      <c r="D245" s="174" t="s">
        <v>167</v>
      </c>
      <c r="E245" s="174"/>
      <c r="F245" s="50"/>
      <c r="G245" s="50"/>
      <c r="H245" s="50">
        <v>1505.21</v>
      </c>
      <c r="I245" s="554"/>
      <c r="J245" s="554"/>
      <c r="K245" s="67"/>
      <c r="L245" s="103"/>
    </row>
    <row r="246" spans="1:17" hidden="1" x14ac:dyDescent="0.25">
      <c r="A246" s="143"/>
      <c r="B246" s="165">
        <v>383</v>
      </c>
      <c r="C246" s="61"/>
      <c r="D246" s="166" t="s">
        <v>169</v>
      </c>
      <c r="E246" s="166"/>
      <c r="F246" s="93">
        <f>SUM(F247:F248)</f>
        <v>0</v>
      </c>
      <c r="G246" s="93"/>
      <c r="H246" s="93">
        <f>SUM(H247:H248)</f>
        <v>265.45</v>
      </c>
      <c r="I246" s="552">
        <f>SUM(I247:I248)</f>
        <v>0</v>
      </c>
      <c r="J246" s="552"/>
      <c r="L246" s="67"/>
    </row>
    <row r="247" spans="1:17" hidden="1" x14ac:dyDescent="0.25">
      <c r="A247" s="143"/>
      <c r="B247" s="161">
        <v>3834</v>
      </c>
      <c r="C247" s="21"/>
      <c r="D247" s="162" t="s">
        <v>172</v>
      </c>
      <c r="E247" s="162"/>
      <c r="F247" s="145"/>
      <c r="G247" s="145"/>
      <c r="H247" s="145">
        <v>265.45</v>
      </c>
      <c r="I247" s="562">
        <v>0</v>
      </c>
      <c r="J247" s="562"/>
    </row>
    <row r="248" spans="1:17" hidden="1" x14ac:dyDescent="0.25">
      <c r="A248" s="143"/>
      <c r="B248" s="161">
        <v>3835</v>
      </c>
      <c r="C248" s="21"/>
      <c r="D248" s="162" t="s">
        <v>173</v>
      </c>
      <c r="E248" s="162"/>
      <c r="F248" s="145"/>
      <c r="G248" s="145"/>
      <c r="H248" s="145">
        <v>0</v>
      </c>
      <c r="I248" s="562"/>
      <c r="J248" s="562"/>
    </row>
    <row r="249" spans="1:17" hidden="1" x14ac:dyDescent="0.25">
      <c r="A249" s="175">
        <v>4</v>
      </c>
      <c r="B249" s="176"/>
      <c r="C249" s="177"/>
      <c r="D249" s="178" t="s">
        <v>174</v>
      </c>
      <c r="E249" s="178"/>
      <c r="F249" s="119">
        <f>F250+F253</f>
        <v>0</v>
      </c>
      <c r="G249" s="119"/>
      <c r="H249" s="119">
        <f>H250+H253</f>
        <v>44926.680000000008</v>
      </c>
      <c r="I249" s="557">
        <f>I250+I253</f>
        <v>0</v>
      </c>
      <c r="J249" s="557"/>
    </row>
    <row r="250" spans="1:17" hidden="1" x14ac:dyDescent="0.25">
      <c r="A250" s="54"/>
      <c r="B250" s="22" t="s">
        <v>175</v>
      </c>
      <c r="C250" s="141"/>
      <c r="D250" s="179" t="s">
        <v>176</v>
      </c>
      <c r="E250" s="179"/>
      <c r="F250" s="92">
        <f t="shared" ref="F250:I251" si="35">SUM(F251)</f>
        <v>0</v>
      </c>
      <c r="G250" s="92"/>
      <c r="H250" s="92">
        <f t="shared" si="35"/>
        <v>0</v>
      </c>
      <c r="I250" s="556">
        <f t="shared" si="35"/>
        <v>0</v>
      </c>
      <c r="J250" s="556"/>
    </row>
    <row r="251" spans="1:17" hidden="1" x14ac:dyDescent="0.25">
      <c r="A251" s="54"/>
      <c r="B251" s="79">
        <v>412</v>
      </c>
      <c r="C251" s="53"/>
      <c r="D251" s="182" t="s">
        <v>181</v>
      </c>
      <c r="E251" s="182"/>
      <c r="F251" s="93">
        <f t="shared" si="35"/>
        <v>0</v>
      </c>
      <c r="G251" s="93"/>
      <c r="H251" s="93">
        <f t="shared" si="35"/>
        <v>0</v>
      </c>
      <c r="I251" s="552">
        <f t="shared" si="35"/>
        <v>0</v>
      </c>
      <c r="J251" s="552"/>
    </row>
    <row r="252" spans="1:17" hidden="1" x14ac:dyDescent="0.25">
      <c r="A252" s="98"/>
      <c r="B252" s="183">
        <v>4123</v>
      </c>
      <c r="C252" s="64"/>
      <c r="D252" s="184" t="s">
        <v>182</v>
      </c>
      <c r="E252" s="184"/>
      <c r="F252" s="50">
        <v>0</v>
      </c>
      <c r="G252" s="50"/>
      <c r="H252" s="50">
        <v>0</v>
      </c>
      <c r="I252" s="554">
        <v>0</v>
      </c>
      <c r="J252" s="554"/>
    </row>
    <row r="253" spans="1:17" hidden="1" x14ac:dyDescent="0.25">
      <c r="A253" s="143"/>
      <c r="B253" s="22">
        <v>42</v>
      </c>
      <c r="C253" s="141"/>
      <c r="D253" s="142" t="s">
        <v>183</v>
      </c>
      <c r="E253" s="142"/>
      <c r="F253" s="92">
        <f>SUM(F254,F256,F265)</f>
        <v>0</v>
      </c>
      <c r="G253" s="92"/>
      <c r="H253" s="92">
        <f>SUM(H254,H256,H265)</f>
        <v>44926.680000000008</v>
      </c>
      <c r="I253" s="556">
        <f>SUM(I254,I256,I265,I263)</f>
        <v>0</v>
      </c>
      <c r="J253" s="556"/>
    </row>
    <row r="254" spans="1:17" hidden="1" x14ac:dyDescent="0.25">
      <c r="A254" s="143"/>
      <c r="B254" s="43" t="s">
        <v>206</v>
      </c>
      <c r="C254" s="105"/>
      <c r="D254" s="173" t="s">
        <v>207</v>
      </c>
      <c r="E254" s="173"/>
      <c r="F254" s="93">
        <f>SUM(F255)</f>
        <v>0</v>
      </c>
      <c r="G254" s="93"/>
      <c r="H254" s="93">
        <f>SUM(H255)</f>
        <v>18581.2</v>
      </c>
      <c r="I254" s="552">
        <f>SUM(I255)</f>
        <v>0</v>
      </c>
      <c r="J254" s="552"/>
    </row>
    <row r="255" spans="1:17" hidden="1" x14ac:dyDescent="0.25">
      <c r="A255" s="143"/>
      <c r="B255" s="48" t="s">
        <v>208</v>
      </c>
      <c r="C255" s="167"/>
      <c r="D255" s="174" t="s">
        <v>209</v>
      </c>
      <c r="E255" s="174"/>
      <c r="F255" s="50"/>
      <c r="G255" s="50"/>
      <c r="H255" s="50">
        <v>18581.2</v>
      </c>
      <c r="I255" s="554">
        <v>0</v>
      </c>
      <c r="J255" s="554"/>
    </row>
    <row r="256" spans="1:17" hidden="1" x14ac:dyDescent="0.25">
      <c r="A256" s="143"/>
      <c r="B256" s="43">
        <v>422</v>
      </c>
      <c r="C256" s="143"/>
      <c r="D256" s="105" t="s">
        <v>184</v>
      </c>
      <c r="E256" s="105"/>
      <c r="F256" s="93">
        <f>SUM(F257:F262)</f>
        <v>0</v>
      </c>
      <c r="G256" s="93"/>
      <c r="H256" s="93">
        <f>SUM(H257:H261)</f>
        <v>26345.480000000003</v>
      </c>
      <c r="I256" s="552">
        <f>SUM(I257:I261)</f>
        <v>0</v>
      </c>
      <c r="J256" s="552"/>
    </row>
    <row r="257" spans="1:10" hidden="1" x14ac:dyDescent="0.25">
      <c r="A257" s="143"/>
      <c r="B257" s="144" t="s">
        <v>185</v>
      </c>
      <c r="C257" s="143"/>
      <c r="D257" s="143" t="s">
        <v>186</v>
      </c>
      <c r="E257" s="143"/>
      <c r="F257" s="145"/>
      <c r="G257" s="145"/>
      <c r="H257" s="145">
        <f>1327.23</f>
        <v>1327.23</v>
      </c>
      <c r="I257" s="562"/>
      <c r="J257" s="562"/>
    </row>
    <row r="258" spans="1:10" hidden="1" x14ac:dyDescent="0.25">
      <c r="A258" s="143"/>
      <c r="B258" s="144" t="s">
        <v>187</v>
      </c>
      <c r="C258" s="143"/>
      <c r="D258" s="143" t="s">
        <v>188</v>
      </c>
      <c r="E258" s="143"/>
      <c r="F258" s="145"/>
      <c r="G258" s="145"/>
      <c r="H258" s="145">
        <v>132.72</v>
      </c>
      <c r="I258" s="562">
        <v>0</v>
      </c>
      <c r="J258" s="562"/>
    </row>
    <row r="259" spans="1:10" hidden="1" x14ac:dyDescent="0.25">
      <c r="A259" s="98"/>
      <c r="B259" s="183">
        <v>4223</v>
      </c>
      <c r="C259" s="64"/>
      <c r="D259" s="184" t="s">
        <v>189</v>
      </c>
      <c r="E259" s="184"/>
      <c r="F259" s="50">
        <v>0</v>
      </c>
      <c r="G259" s="50"/>
      <c r="H259" s="50">
        <f>1990.84</f>
        <v>1990.84</v>
      </c>
      <c r="I259" s="554">
        <v>0</v>
      </c>
      <c r="J259" s="554"/>
    </row>
    <row r="260" spans="1:10" hidden="1" x14ac:dyDescent="0.25">
      <c r="A260" s="98"/>
      <c r="B260" s="183">
        <v>4224</v>
      </c>
      <c r="C260" s="64"/>
      <c r="D260" s="184" t="s">
        <v>190</v>
      </c>
      <c r="E260" s="184"/>
      <c r="F260" s="50"/>
      <c r="G260" s="50"/>
      <c r="H260" s="50">
        <f>22562.88+331.81</f>
        <v>22894.690000000002</v>
      </c>
      <c r="I260" s="554"/>
      <c r="J260" s="554"/>
    </row>
    <row r="261" spans="1:10" hidden="1" x14ac:dyDescent="0.25">
      <c r="A261" s="98"/>
      <c r="B261" s="183">
        <v>4225</v>
      </c>
      <c r="C261" s="64"/>
      <c r="D261" s="184" t="s">
        <v>191</v>
      </c>
      <c r="E261" s="184"/>
      <c r="F261" s="50">
        <v>0</v>
      </c>
      <c r="G261" s="50"/>
      <c r="H261" s="50">
        <v>0</v>
      </c>
      <c r="I261" s="554">
        <v>0</v>
      </c>
      <c r="J261" s="554"/>
    </row>
    <row r="262" spans="1:10" hidden="1" x14ac:dyDescent="0.25">
      <c r="A262" s="98"/>
      <c r="B262" s="183">
        <v>4227</v>
      </c>
      <c r="C262" s="64"/>
      <c r="D262" s="184" t="s">
        <v>192</v>
      </c>
      <c r="E262" s="184"/>
      <c r="F262" s="50"/>
      <c r="G262" s="50"/>
      <c r="H262" s="50">
        <v>0</v>
      </c>
      <c r="I262" s="554">
        <v>0</v>
      </c>
      <c r="J262" s="554"/>
    </row>
    <row r="263" spans="1:10" s="67" customFormat="1" hidden="1" x14ac:dyDescent="0.25">
      <c r="A263" s="85"/>
      <c r="B263" s="185">
        <v>423</v>
      </c>
      <c r="C263" s="60"/>
      <c r="D263" s="186" t="s">
        <v>193</v>
      </c>
      <c r="E263" s="186"/>
      <c r="F263" s="93"/>
      <c r="G263" s="93"/>
      <c r="H263" s="93"/>
      <c r="I263" s="552">
        <f>I264</f>
        <v>0</v>
      </c>
      <c r="J263" s="552"/>
    </row>
    <row r="264" spans="1:10" hidden="1" x14ac:dyDescent="0.25">
      <c r="A264" s="98"/>
      <c r="B264" s="183">
        <v>4231</v>
      </c>
      <c r="C264" s="64"/>
      <c r="D264" s="184" t="s">
        <v>80</v>
      </c>
      <c r="E264" s="184"/>
      <c r="F264" s="50"/>
      <c r="G264" s="50"/>
      <c r="H264" s="50"/>
      <c r="I264" s="554"/>
      <c r="J264" s="554"/>
    </row>
    <row r="265" spans="1:10" hidden="1" x14ac:dyDescent="0.25">
      <c r="A265" s="98"/>
      <c r="B265" s="185">
        <v>426</v>
      </c>
      <c r="C265" s="60"/>
      <c r="D265" s="186" t="s">
        <v>194</v>
      </c>
      <c r="E265" s="186"/>
      <c r="F265" s="93">
        <f>F266</f>
        <v>0</v>
      </c>
      <c r="G265" s="93"/>
      <c r="H265" s="93">
        <f>H266</f>
        <v>0</v>
      </c>
      <c r="I265" s="552">
        <f>I266</f>
        <v>0</v>
      </c>
      <c r="J265" s="552"/>
    </row>
    <row r="266" spans="1:10" hidden="1" x14ac:dyDescent="0.25">
      <c r="A266" s="98"/>
      <c r="B266" s="183">
        <v>4262</v>
      </c>
      <c r="C266" s="64"/>
      <c r="D266" s="184" t="s">
        <v>195</v>
      </c>
      <c r="E266" s="184"/>
      <c r="F266" s="50"/>
      <c r="G266" s="50"/>
      <c r="H266" s="50">
        <v>0</v>
      </c>
      <c r="I266" s="554">
        <v>0</v>
      </c>
      <c r="J266" s="554"/>
    </row>
    <row r="267" spans="1:10" hidden="1" x14ac:dyDescent="0.25">
      <c r="A267" s="187"/>
      <c r="B267" s="188"/>
      <c r="C267" s="208" t="s">
        <v>65</v>
      </c>
      <c r="D267" s="209" t="s">
        <v>210</v>
      </c>
      <c r="E267" s="209"/>
      <c r="F267" s="210">
        <f>F192+F249</f>
        <v>0</v>
      </c>
      <c r="G267" s="210"/>
      <c r="H267" s="210">
        <f>H192+H249</f>
        <v>4869046.5299999993</v>
      </c>
      <c r="I267" s="566">
        <f>I192+I249</f>
        <v>0</v>
      </c>
      <c r="J267" s="566"/>
    </row>
    <row r="268" spans="1:10" hidden="1" x14ac:dyDescent="0.25">
      <c r="A268" s="137" t="s">
        <v>86</v>
      </c>
      <c r="B268" s="137"/>
      <c r="C268" s="138"/>
      <c r="D268" s="139" t="s">
        <v>87</v>
      </c>
      <c r="E268" s="139"/>
      <c r="F268" s="211">
        <f>F269+F276</f>
        <v>0</v>
      </c>
      <c r="G268" s="211"/>
      <c r="H268" s="212">
        <f>H269+H276</f>
        <v>347388.68</v>
      </c>
      <c r="I268" s="567">
        <f>I269+I276</f>
        <v>0</v>
      </c>
      <c r="J268" s="567"/>
    </row>
    <row r="269" spans="1:10" hidden="1" x14ac:dyDescent="0.25">
      <c r="A269" s="105"/>
      <c r="B269" s="22">
        <v>31</v>
      </c>
      <c r="C269" s="141"/>
      <c r="D269" s="142" t="s">
        <v>88</v>
      </c>
      <c r="E269" s="142"/>
      <c r="F269" s="42">
        <f>F270+F274</f>
        <v>0</v>
      </c>
      <c r="G269" s="42"/>
      <c r="H269" s="42">
        <f>H270+H274</f>
        <v>347388.68</v>
      </c>
      <c r="I269" s="550">
        <f>I270+I274</f>
        <v>0</v>
      </c>
      <c r="J269" s="550"/>
    </row>
    <row r="270" spans="1:10" hidden="1" x14ac:dyDescent="0.25">
      <c r="A270" s="105"/>
      <c r="B270" s="43">
        <v>311</v>
      </c>
      <c r="C270" s="143"/>
      <c r="D270" s="105" t="s">
        <v>89</v>
      </c>
      <c r="E270" s="105"/>
      <c r="F270" s="152">
        <f>SUM(F271:F273)</f>
        <v>0</v>
      </c>
      <c r="G270" s="152"/>
      <c r="H270" s="152">
        <f>SUM(H271:H273)</f>
        <v>330612.52</v>
      </c>
      <c r="I270" s="563">
        <f>SUM(I271,I273)</f>
        <v>0</v>
      </c>
      <c r="J270" s="563"/>
    </row>
    <row r="271" spans="1:10" hidden="1" x14ac:dyDescent="0.25">
      <c r="A271" s="105"/>
      <c r="B271" s="144">
        <v>3111</v>
      </c>
      <c r="C271" s="143"/>
      <c r="D271" s="143" t="s">
        <v>90</v>
      </c>
      <c r="E271" s="143"/>
      <c r="F271" s="153"/>
      <c r="G271" s="153"/>
      <c r="H271" s="213">
        <f>173999.6+21235.65</f>
        <v>195235.25</v>
      </c>
      <c r="I271" s="564"/>
      <c r="J271" s="564"/>
    </row>
    <row r="272" spans="1:10" hidden="1" x14ac:dyDescent="0.25">
      <c r="A272" s="105"/>
      <c r="B272" s="144" t="s">
        <v>93</v>
      </c>
      <c r="C272" s="143"/>
      <c r="D272" s="143" t="s">
        <v>94</v>
      </c>
      <c r="E272" s="143"/>
      <c r="F272" s="153">
        <v>0</v>
      </c>
      <c r="G272" s="153"/>
      <c r="H272" s="213">
        <v>16988.52</v>
      </c>
      <c r="I272" s="564">
        <v>0</v>
      </c>
      <c r="J272" s="564"/>
    </row>
    <row r="273" spans="1:10" hidden="1" x14ac:dyDescent="0.25">
      <c r="A273" s="105"/>
      <c r="B273" s="144" t="s">
        <v>95</v>
      </c>
      <c r="C273" s="143"/>
      <c r="D273" s="143" t="s">
        <v>211</v>
      </c>
      <c r="E273" s="143"/>
      <c r="F273" s="153"/>
      <c r="G273" s="153"/>
      <c r="H273" s="213">
        <v>118388.75</v>
      </c>
      <c r="I273" s="564">
        <v>0</v>
      </c>
      <c r="J273" s="564"/>
    </row>
    <row r="274" spans="1:10" hidden="1" x14ac:dyDescent="0.25">
      <c r="A274" s="105"/>
      <c r="B274" s="149" t="s">
        <v>212</v>
      </c>
      <c r="C274" s="148"/>
      <c r="D274" s="148" t="s">
        <v>100</v>
      </c>
      <c r="E274" s="148"/>
      <c r="F274" s="214">
        <f>SUM(F275)</f>
        <v>0</v>
      </c>
      <c r="G274" s="214"/>
      <c r="H274" s="214">
        <f>SUM(H275)</f>
        <v>16776.16</v>
      </c>
      <c r="I274" s="568">
        <f>SUM(I275)</f>
        <v>0</v>
      </c>
      <c r="J274" s="568"/>
    </row>
    <row r="275" spans="1:10" hidden="1" x14ac:dyDescent="0.25">
      <c r="A275" s="105"/>
      <c r="B275" s="144" t="s">
        <v>213</v>
      </c>
      <c r="C275" s="143"/>
      <c r="D275" s="143" t="s">
        <v>214</v>
      </c>
      <c r="E275" s="143"/>
      <c r="F275" s="153"/>
      <c r="G275" s="153"/>
      <c r="H275" s="213">
        <v>16776.16</v>
      </c>
      <c r="I275" s="564">
        <v>0</v>
      </c>
      <c r="J275" s="564"/>
    </row>
    <row r="276" spans="1:10" hidden="1" x14ac:dyDescent="0.25">
      <c r="A276" s="105"/>
      <c r="B276" s="22">
        <v>32</v>
      </c>
      <c r="C276" s="141"/>
      <c r="D276" s="142" t="s">
        <v>102</v>
      </c>
      <c r="E276" s="142"/>
      <c r="F276" s="215">
        <f>SUM(F279+F277+F284+F290)</f>
        <v>0</v>
      </c>
      <c r="G276" s="215"/>
      <c r="H276" s="215">
        <v>0</v>
      </c>
      <c r="I276" s="569">
        <f>SUM(I277,I279,I284,I290)</f>
        <v>0</v>
      </c>
      <c r="J276" s="569"/>
    </row>
    <row r="277" spans="1:10" hidden="1" x14ac:dyDescent="0.25">
      <c r="A277" s="105"/>
      <c r="B277" s="43" t="s">
        <v>215</v>
      </c>
      <c r="C277" s="105"/>
      <c r="D277" s="173" t="s">
        <v>103</v>
      </c>
      <c r="E277" s="173"/>
      <c r="F277" s="214">
        <f>F278</f>
        <v>0</v>
      </c>
      <c r="G277" s="214"/>
      <c r="H277" s="214">
        <f>H278</f>
        <v>0</v>
      </c>
      <c r="I277" s="568">
        <f>I278</f>
        <v>0</v>
      </c>
      <c r="J277" s="568"/>
    </row>
    <row r="278" spans="1:10" s="51" customFormat="1" hidden="1" x14ac:dyDescent="0.25">
      <c r="A278" s="167"/>
      <c r="B278" s="48" t="s">
        <v>106</v>
      </c>
      <c r="C278" s="167"/>
      <c r="D278" s="174" t="s">
        <v>107</v>
      </c>
      <c r="E278" s="174"/>
      <c r="F278" s="216"/>
      <c r="G278" s="216"/>
      <c r="H278" s="216">
        <v>0</v>
      </c>
      <c r="I278" s="570">
        <v>0</v>
      </c>
      <c r="J278" s="570"/>
    </row>
    <row r="279" spans="1:10" hidden="1" x14ac:dyDescent="0.25">
      <c r="A279" s="105"/>
      <c r="B279" s="43" t="s">
        <v>112</v>
      </c>
      <c r="C279" s="105"/>
      <c r="D279" s="105" t="s">
        <v>113</v>
      </c>
      <c r="E279" s="105"/>
      <c r="F279" s="217">
        <f>SUM(F280:F283)</f>
        <v>0</v>
      </c>
      <c r="G279" s="217"/>
      <c r="H279" s="217">
        <f>SUM(H281,H280)</f>
        <v>0</v>
      </c>
      <c r="I279" s="571">
        <f>SUM(I280:I283)</f>
        <v>0</v>
      </c>
      <c r="J279" s="571"/>
    </row>
    <row r="280" spans="1:10" hidden="1" x14ac:dyDescent="0.25">
      <c r="A280" s="167"/>
      <c r="B280" s="48" t="s">
        <v>114</v>
      </c>
      <c r="C280" s="167"/>
      <c r="D280" s="167" t="s">
        <v>115</v>
      </c>
      <c r="E280" s="167"/>
      <c r="F280" s="218"/>
      <c r="G280" s="218"/>
      <c r="H280" s="218">
        <v>0</v>
      </c>
      <c r="I280" s="572"/>
      <c r="J280" s="572"/>
    </row>
    <row r="281" spans="1:10" hidden="1" x14ac:dyDescent="0.25">
      <c r="A281" s="105"/>
      <c r="B281" s="144" t="s">
        <v>116</v>
      </c>
      <c r="C281" s="143"/>
      <c r="D281" s="143" t="s">
        <v>117</v>
      </c>
      <c r="E281" s="143"/>
      <c r="F281" s="153"/>
      <c r="G281" s="153"/>
      <c r="H281" s="213">
        <v>0</v>
      </c>
      <c r="I281" s="564">
        <v>0</v>
      </c>
      <c r="J281" s="564"/>
    </row>
    <row r="282" spans="1:10" hidden="1" x14ac:dyDescent="0.25">
      <c r="A282" s="105"/>
      <c r="B282" s="144" t="s">
        <v>118</v>
      </c>
      <c r="C282" s="143"/>
      <c r="D282" s="143" t="s">
        <v>119</v>
      </c>
      <c r="E282" s="143"/>
      <c r="F282" s="153"/>
      <c r="G282" s="153"/>
      <c r="H282" s="213">
        <v>0</v>
      </c>
      <c r="I282" s="564"/>
      <c r="J282" s="564"/>
    </row>
    <row r="283" spans="1:10" hidden="1" x14ac:dyDescent="0.25">
      <c r="A283" s="105"/>
      <c r="B283" s="144" t="s">
        <v>120</v>
      </c>
      <c r="C283" s="143"/>
      <c r="D283" s="143" t="s">
        <v>121</v>
      </c>
      <c r="E283" s="143"/>
      <c r="F283" s="153"/>
      <c r="G283" s="153"/>
      <c r="H283" s="213">
        <v>0</v>
      </c>
      <c r="I283" s="564">
        <v>0</v>
      </c>
      <c r="J283" s="564"/>
    </row>
    <row r="284" spans="1:10" hidden="1" x14ac:dyDescent="0.25">
      <c r="A284" s="105"/>
      <c r="B284" s="149" t="s">
        <v>126</v>
      </c>
      <c r="C284" s="148"/>
      <c r="D284" s="148" t="s">
        <v>127</v>
      </c>
      <c r="E284" s="148"/>
      <c r="F284" s="217">
        <f>SUM(F285:F289)</f>
        <v>0</v>
      </c>
      <c r="G284" s="217"/>
      <c r="H284" s="217">
        <f>SUM(H285:H289)</f>
        <v>0</v>
      </c>
      <c r="I284" s="571">
        <f>SUM(I285:I289)</f>
        <v>0</v>
      </c>
      <c r="J284" s="571"/>
    </row>
    <row r="285" spans="1:10" hidden="1" x14ac:dyDescent="0.25">
      <c r="A285" s="105"/>
      <c r="B285" s="144" t="s">
        <v>132</v>
      </c>
      <c r="C285" s="143"/>
      <c r="D285" s="143" t="s">
        <v>133</v>
      </c>
      <c r="E285" s="143"/>
      <c r="F285" s="153">
        <v>0</v>
      </c>
      <c r="G285" s="153"/>
      <c r="H285" s="213">
        <v>0</v>
      </c>
      <c r="I285" s="564"/>
      <c r="J285" s="564"/>
    </row>
    <row r="286" spans="1:10" hidden="1" x14ac:dyDescent="0.25">
      <c r="A286" s="105"/>
      <c r="B286" s="144" t="s">
        <v>134</v>
      </c>
      <c r="C286" s="143"/>
      <c r="D286" s="143" t="s">
        <v>135</v>
      </c>
      <c r="E286" s="143"/>
      <c r="F286" s="153"/>
      <c r="G286" s="153"/>
      <c r="H286" s="213">
        <v>0</v>
      </c>
      <c r="I286" s="564"/>
      <c r="J286" s="564"/>
    </row>
    <row r="287" spans="1:10" hidden="1" x14ac:dyDescent="0.25">
      <c r="A287" s="105"/>
      <c r="B287" s="144" t="s">
        <v>216</v>
      </c>
      <c r="C287" s="143"/>
      <c r="D287" s="143" t="s">
        <v>136</v>
      </c>
      <c r="E287" s="143"/>
      <c r="F287" s="153">
        <v>0</v>
      </c>
      <c r="G287" s="153"/>
      <c r="H287" s="213">
        <v>0</v>
      </c>
      <c r="I287" s="564"/>
      <c r="J287" s="564"/>
    </row>
    <row r="288" spans="1:10" hidden="1" x14ac:dyDescent="0.25">
      <c r="A288" s="105"/>
      <c r="B288" s="144" t="s">
        <v>217</v>
      </c>
      <c r="C288" s="143"/>
      <c r="D288" s="143" t="s">
        <v>137</v>
      </c>
      <c r="E288" s="143"/>
      <c r="F288" s="153"/>
      <c r="G288" s="153"/>
      <c r="H288" s="213">
        <v>0</v>
      </c>
      <c r="I288" s="564">
        <v>0</v>
      </c>
      <c r="J288" s="564"/>
    </row>
    <row r="289" spans="1:10" hidden="1" x14ac:dyDescent="0.25">
      <c r="A289" s="105"/>
      <c r="B289" s="144" t="s">
        <v>218</v>
      </c>
      <c r="C289" s="143"/>
      <c r="D289" s="143" t="s">
        <v>138</v>
      </c>
      <c r="E289" s="143"/>
      <c r="F289" s="153">
        <v>0</v>
      </c>
      <c r="G289" s="153"/>
      <c r="H289" s="213">
        <v>0</v>
      </c>
      <c r="I289" s="564"/>
      <c r="J289" s="564"/>
    </row>
    <row r="290" spans="1:10" hidden="1" x14ac:dyDescent="0.25">
      <c r="A290" s="105"/>
      <c r="B290" s="149" t="s">
        <v>219</v>
      </c>
      <c r="C290" s="148"/>
      <c r="D290" s="148" t="s">
        <v>220</v>
      </c>
      <c r="E290" s="148"/>
      <c r="F290" s="217">
        <f>SUM(F291:F292)</f>
        <v>0</v>
      </c>
      <c r="G290" s="217"/>
      <c r="H290" s="217">
        <f>SUM(H291:H292)</f>
        <v>0</v>
      </c>
      <c r="I290" s="571">
        <f>SUM(I291:I292)</f>
        <v>0</v>
      </c>
      <c r="J290" s="571"/>
    </row>
    <row r="291" spans="1:10" hidden="1" x14ac:dyDescent="0.25">
      <c r="A291" s="105"/>
      <c r="B291" s="144" t="s">
        <v>221</v>
      </c>
      <c r="C291" s="143"/>
      <c r="D291" s="143" t="s">
        <v>148</v>
      </c>
      <c r="E291" s="143"/>
      <c r="F291" s="153">
        <v>0</v>
      </c>
      <c r="G291" s="153"/>
      <c r="H291" s="213">
        <v>0</v>
      </c>
      <c r="I291" s="564"/>
      <c r="J291" s="564"/>
    </row>
    <row r="292" spans="1:10" hidden="1" x14ac:dyDescent="0.25">
      <c r="A292" s="105"/>
      <c r="B292" s="144" t="s">
        <v>222</v>
      </c>
      <c r="C292" s="143"/>
      <c r="D292" s="143" t="s">
        <v>150</v>
      </c>
      <c r="E292" s="143"/>
      <c r="F292" s="153">
        <v>0</v>
      </c>
      <c r="G292" s="153"/>
      <c r="H292" s="213">
        <v>0</v>
      </c>
      <c r="I292" s="564">
        <v>0</v>
      </c>
      <c r="J292" s="564"/>
    </row>
    <row r="293" spans="1:10" s="67" customFormat="1" hidden="1" x14ac:dyDescent="0.25">
      <c r="A293" s="117">
        <v>4</v>
      </c>
      <c r="B293" s="219"/>
      <c r="C293" s="220"/>
      <c r="D293" s="178" t="s">
        <v>183</v>
      </c>
      <c r="E293" s="178"/>
      <c r="F293" s="221"/>
      <c r="G293" s="221"/>
      <c r="H293" s="222"/>
      <c r="I293" s="573">
        <f>I294</f>
        <v>0</v>
      </c>
      <c r="J293" s="573"/>
    </row>
    <row r="294" spans="1:10" s="67" customFormat="1" hidden="1" x14ac:dyDescent="0.25">
      <c r="A294" s="148"/>
      <c r="B294" s="149" t="s">
        <v>223</v>
      </c>
      <c r="C294" s="148"/>
      <c r="D294" s="105" t="s">
        <v>184</v>
      </c>
      <c r="E294" s="105"/>
      <c r="F294" s="217"/>
      <c r="G294" s="217"/>
      <c r="H294" s="214"/>
      <c r="I294" s="571">
        <f>I295</f>
        <v>0</v>
      </c>
      <c r="J294" s="571"/>
    </row>
    <row r="295" spans="1:10" hidden="1" x14ac:dyDescent="0.25">
      <c r="A295" s="105"/>
      <c r="B295" s="144" t="s">
        <v>185</v>
      </c>
      <c r="C295" s="143"/>
      <c r="D295" s="143" t="s">
        <v>186</v>
      </c>
      <c r="E295" s="143"/>
      <c r="F295" s="153"/>
      <c r="G295" s="153"/>
      <c r="H295" s="213"/>
      <c r="I295" s="564"/>
      <c r="J295" s="564"/>
    </row>
    <row r="296" spans="1:10" hidden="1" x14ac:dyDescent="0.25">
      <c r="A296" s="187"/>
      <c r="B296" s="188"/>
      <c r="C296" s="208">
        <v>52</v>
      </c>
      <c r="D296" s="209" t="s">
        <v>224</v>
      </c>
      <c r="E296" s="209"/>
      <c r="F296" s="210">
        <f>F268</f>
        <v>0</v>
      </c>
      <c r="G296" s="210"/>
      <c r="H296" s="210">
        <f>H268</f>
        <v>347388.68</v>
      </c>
      <c r="I296" s="566">
        <f>I268+I293</f>
        <v>0</v>
      </c>
      <c r="J296" s="566"/>
    </row>
    <row r="297" spans="1:10" hidden="1" x14ac:dyDescent="0.25">
      <c r="A297" s="137" t="s">
        <v>86</v>
      </c>
      <c r="B297" s="137"/>
      <c r="C297" s="138"/>
      <c r="D297" s="139" t="s">
        <v>87</v>
      </c>
      <c r="E297" s="139"/>
      <c r="F297" s="140">
        <f>F298+F307</f>
        <v>0</v>
      </c>
      <c r="G297" s="140"/>
      <c r="H297" s="140">
        <f>H298+H307</f>
        <v>139358.95000000001</v>
      </c>
      <c r="I297" s="561">
        <f>I298+I307</f>
        <v>0</v>
      </c>
      <c r="J297" s="561"/>
    </row>
    <row r="298" spans="1:10" hidden="1" x14ac:dyDescent="0.25">
      <c r="A298" s="105"/>
      <c r="B298" s="22">
        <v>31</v>
      </c>
      <c r="C298" s="141"/>
      <c r="D298" s="142" t="s">
        <v>88</v>
      </c>
      <c r="E298" s="142"/>
      <c r="F298" s="42">
        <f>F299+F302+F304</f>
        <v>0</v>
      </c>
      <c r="G298" s="42"/>
      <c r="H298" s="42">
        <f>H299+H302+H304</f>
        <v>132059.20000000001</v>
      </c>
      <c r="I298" s="550">
        <f>I299+I302+I304</f>
        <v>0</v>
      </c>
      <c r="J298" s="550"/>
    </row>
    <row r="299" spans="1:10" hidden="1" x14ac:dyDescent="0.25">
      <c r="A299" s="105"/>
      <c r="B299" s="43">
        <v>311</v>
      </c>
      <c r="C299" s="143"/>
      <c r="D299" s="105" t="s">
        <v>89</v>
      </c>
      <c r="E299" s="105"/>
      <c r="F299" s="46">
        <f>SUM(F300:F301)</f>
        <v>0</v>
      </c>
      <c r="G299" s="46"/>
      <c r="H299" s="46">
        <f>SUM(H300:H300)</f>
        <v>106178.26</v>
      </c>
      <c r="I299" s="551">
        <f>SUM(I300:I300)</f>
        <v>0</v>
      </c>
      <c r="J299" s="551"/>
    </row>
    <row r="300" spans="1:10" hidden="1" x14ac:dyDescent="0.25">
      <c r="A300" s="143"/>
      <c r="B300" s="144">
        <v>3111</v>
      </c>
      <c r="C300" s="143"/>
      <c r="D300" s="143" t="s">
        <v>90</v>
      </c>
      <c r="E300" s="143"/>
      <c r="F300" s="145"/>
      <c r="G300" s="145"/>
      <c r="H300" s="145">
        <v>106178.26</v>
      </c>
      <c r="I300" s="562">
        <v>0</v>
      </c>
      <c r="J300" s="562"/>
    </row>
    <row r="301" spans="1:10" hidden="1" x14ac:dyDescent="0.25">
      <c r="A301" s="143"/>
      <c r="B301" s="144" t="s">
        <v>95</v>
      </c>
      <c r="C301" s="143"/>
      <c r="D301" s="143" t="s">
        <v>211</v>
      </c>
      <c r="E301" s="143"/>
      <c r="F301" s="145"/>
      <c r="G301" s="145"/>
      <c r="H301" s="145">
        <v>0</v>
      </c>
      <c r="I301" s="562">
        <v>0</v>
      </c>
      <c r="J301" s="562"/>
    </row>
    <row r="302" spans="1:10" hidden="1" x14ac:dyDescent="0.25">
      <c r="A302" s="148"/>
      <c r="B302" s="149" t="s">
        <v>97</v>
      </c>
      <c r="C302" s="148"/>
      <c r="D302" s="148" t="s">
        <v>98</v>
      </c>
      <c r="E302" s="148"/>
      <c r="F302" s="93">
        <f>SUM(F303)</f>
        <v>0</v>
      </c>
      <c r="G302" s="93"/>
      <c r="H302" s="93">
        <f>SUM(H303)</f>
        <v>4844.38</v>
      </c>
      <c r="I302" s="552">
        <f>SUM(I303)</f>
        <v>0</v>
      </c>
      <c r="J302" s="552"/>
    </row>
    <row r="303" spans="1:10" hidden="1" x14ac:dyDescent="0.25">
      <c r="A303" s="143"/>
      <c r="B303" s="144" t="s">
        <v>99</v>
      </c>
      <c r="C303" s="143"/>
      <c r="D303" s="143" t="s">
        <v>98</v>
      </c>
      <c r="E303" s="143"/>
      <c r="F303" s="145"/>
      <c r="G303" s="145"/>
      <c r="H303" s="145">
        <v>4844.38</v>
      </c>
      <c r="I303" s="562">
        <v>0</v>
      </c>
      <c r="J303" s="562"/>
    </row>
    <row r="304" spans="1:10" hidden="1" x14ac:dyDescent="0.25">
      <c r="A304" s="105"/>
      <c r="B304" s="53">
        <v>313</v>
      </c>
      <c r="C304" s="105"/>
      <c r="D304" s="105" t="s">
        <v>100</v>
      </c>
      <c r="E304" s="105"/>
      <c r="F304" s="152">
        <f>SUM(F305:F306)</f>
        <v>0</v>
      </c>
      <c r="G304" s="152"/>
      <c r="H304" s="152">
        <f>SUM(H305:H306)</f>
        <v>21036.560000000001</v>
      </c>
      <c r="I304" s="563">
        <f>SUM(I305:I306)</f>
        <v>0</v>
      </c>
      <c r="J304" s="563"/>
    </row>
    <row r="305" spans="1:10" s="51" customFormat="1" hidden="1" x14ac:dyDescent="0.25">
      <c r="A305" s="167"/>
      <c r="B305" s="64" t="s">
        <v>225</v>
      </c>
      <c r="C305" s="167"/>
      <c r="D305" s="167" t="s">
        <v>226</v>
      </c>
      <c r="E305" s="167"/>
      <c r="F305" s="218"/>
      <c r="G305" s="218"/>
      <c r="H305" s="218">
        <v>0</v>
      </c>
      <c r="I305" s="572">
        <v>0</v>
      </c>
      <c r="J305" s="572"/>
    </row>
    <row r="306" spans="1:10" hidden="1" x14ac:dyDescent="0.25">
      <c r="A306" s="143"/>
      <c r="B306" s="57">
        <v>3132</v>
      </c>
      <c r="C306" s="143"/>
      <c r="D306" s="143" t="s">
        <v>101</v>
      </c>
      <c r="E306" s="143"/>
      <c r="F306" s="153"/>
      <c r="G306" s="153"/>
      <c r="H306" s="153">
        <v>21036.560000000001</v>
      </c>
      <c r="I306" s="564">
        <v>0</v>
      </c>
      <c r="J306" s="564"/>
    </row>
    <row r="307" spans="1:10" hidden="1" x14ac:dyDescent="0.25">
      <c r="A307" s="105"/>
      <c r="B307" s="22">
        <v>32</v>
      </c>
      <c r="C307" s="141"/>
      <c r="D307" s="142" t="s">
        <v>102</v>
      </c>
      <c r="E307" s="142"/>
      <c r="F307" s="42">
        <f>F308+F311+F313</f>
        <v>0</v>
      </c>
      <c r="G307" s="42"/>
      <c r="H307" s="42">
        <f>H308+H311+H313</f>
        <v>7299.75</v>
      </c>
      <c r="I307" s="550">
        <f>I308+I311+I313</f>
        <v>0</v>
      </c>
      <c r="J307" s="550"/>
    </row>
    <row r="308" spans="1:10" hidden="1" x14ac:dyDescent="0.25">
      <c r="A308" s="105"/>
      <c r="B308" s="43">
        <v>321</v>
      </c>
      <c r="C308" s="105"/>
      <c r="D308" s="105" t="s">
        <v>103</v>
      </c>
      <c r="E308" s="105"/>
      <c r="F308" s="46">
        <f>SUM(F309:F310)</f>
        <v>0</v>
      </c>
      <c r="G308" s="46"/>
      <c r="H308" s="46">
        <f>SUM(H309:H310)</f>
        <v>7299.75</v>
      </c>
      <c r="I308" s="551">
        <f>SUM(I309:I310)</f>
        <v>0</v>
      </c>
      <c r="J308" s="551"/>
    </row>
    <row r="309" spans="1:10" hidden="1" x14ac:dyDescent="0.25">
      <c r="A309" s="143"/>
      <c r="B309" s="144" t="s">
        <v>104</v>
      </c>
      <c r="C309" s="143"/>
      <c r="D309" s="143" t="s">
        <v>105</v>
      </c>
      <c r="E309" s="143"/>
      <c r="F309" s="145">
        <v>0</v>
      </c>
      <c r="G309" s="145"/>
      <c r="H309" s="145">
        <v>663.61</v>
      </c>
      <c r="I309" s="562">
        <v>0</v>
      </c>
      <c r="J309" s="562"/>
    </row>
    <row r="310" spans="1:10" hidden="1" x14ac:dyDescent="0.25">
      <c r="A310" s="143"/>
      <c r="B310" s="144" t="s">
        <v>106</v>
      </c>
      <c r="C310" s="143"/>
      <c r="D310" s="156" t="s">
        <v>107</v>
      </c>
      <c r="E310" s="156"/>
      <c r="F310" s="145"/>
      <c r="G310" s="145"/>
      <c r="H310" s="145">
        <v>6636.14</v>
      </c>
      <c r="I310" s="562">
        <v>0</v>
      </c>
      <c r="J310" s="562"/>
    </row>
    <row r="311" spans="1:10" hidden="1" x14ac:dyDescent="0.25">
      <c r="A311" s="148"/>
      <c r="B311" s="149" t="s">
        <v>112</v>
      </c>
      <c r="C311" s="148"/>
      <c r="D311" s="158" t="s">
        <v>113</v>
      </c>
      <c r="E311" s="158"/>
      <c r="F311" s="93">
        <f>SUM(F312:F312)</f>
        <v>0</v>
      </c>
      <c r="G311" s="93"/>
      <c r="H311" s="93">
        <f>SUM(H312:H312)</f>
        <v>0</v>
      </c>
      <c r="I311" s="552">
        <f>SUM(I312:I312)</f>
        <v>0</v>
      </c>
      <c r="J311" s="552"/>
    </row>
    <row r="312" spans="1:10" hidden="1" x14ac:dyDescent="0.25">
      <c r="A312" s="148"/>
      <c r="B312" s="48" t="s">
        <v>118</v>
      </c>
      <c r="C312" s="148"/>
      <c r="D312" s="143" t="s">
        <v>119</v>
      </c>
      <c r="E312" s="143"/>
      <c r="F312" s="50"/>
      <c r="G312" s="50"/>
      <c r="H312" s="50">
        <v>0</v>
      </c>
      <c r="I312" s="554">
        <v>0</v>
      </c>
      <c r="J312" s="554"/>
    </row>
    <row r="313" spans="1:10" hidden="1" x14ac:dyDescent="0.25">
      <c r="A313" s="148"/>
      <c r="B313" s="149" t="s">
        <v>126</v>
      </c>
      <c r="C313" s="148"/>
      <c r="D313" s="158" t="s">
        <v>127</v>
      </c>
      <c r="E313" s="158"/>
      <c r="F313" s="93">
        <f>SUM(F314:F314)</f>
        <v>0</v>
      </c>
      <c r="G313" s="93"/>
      <c r="H313" s="93">
        <f>SUM(H314:H314)</f>
        <v>0</v>
      </c>
      <c r="I313" s="552">
        <f>SUM(I314:I314)</f>
        <v>0</v>
      </c>
      <c r="J313" s="552"/>
    </row>
    <row r="314" spans="1:10" hidden="1" x14ac:dyDescent="0.25">
      <c r="A314" s="148"/>
      <c r="B314" s="48" t="s">
        <v>132</v>
      </c>
      <c r="C314" s="148"/>
      <c r="D314" s="156" t="s">
        <v>133</v>
      </c>
      <c r="E314" s="156"/>
      <c r="F314" s="50">
        <v>0</v>
      </c>
      <c r="G314" s="50"/>
      <c r="H314" s="50">
        <v>0</v>
      </c>
      <c r="I314" s="554">
        <v>0</v>
      </c>
      <c r="J314" s="554"/>
    </row>
    <row r="315" spans="1:10" hidden="1" x14ac:dyDescent="0.25">
      <c r="A315" s="175">
        <v>4</v>
      </c>
      <c r="B315" s="176"/>
      <c r="C315" s="177"/>
      <c r="D315" s="178" t="s">
        <v>174</v>
      </c>
      <c r="E315" s="178"/>
      <c r="F315" s="119">
        <f t="shared" ref="F315:I317" si="36">F316</f>
        <v>0</v>
      </c>
      <c r="G315" s="119"/>
      <c r="H315" s="119">
        <f t="shared" si="36"/>
        <v>152631.23000000001</v>
      </c>
      <c r="I315" s="557">
        <f t="shared" si="36"/>
        <v>0</v>
      </c>
      <c r="J315" s="557"/>
    </row>
    <row r="316" spans="1:10" hidden="1" x14ac:dyDescent="0.25">
      <c r="A316" s="148"/>
      <c r="B316" s="87" t="s">
        <v>196</v>
      </c>
      <c r="C316" s="223"/>
      <c r="D316" s="224" t="s">
        <v>197</v>
      </c>
      <c r="E316" s="224"/>
      <c r="F316" s="92">
        <f t="shared" si="36"/>
        <v>0</v>
      </c>
      <c r="G316" s="92"/>
      <c r="H316" s="92">
        <f t="shared" si="36"/>
        <v>152631.23000000001</v>
      </c>
      <c r="I316" s="556">
        <f t="shared" si="36"/>
        <v>0</v>
      </c>
      <c r="J316" s="556"/>
    </row>
    <row r="317" spans="1:10" hidden="1" x14ac:dyDescent="0.25">
      <c r="A317" s="148"/>
      <c r="B317" s="149" t="s">
        <v>198</v>
      </c>
      <c r="C317" s="148"/>
      <c r="D317" s="148" t="s">
        <v>199</v>
      </c>
      <c r="E317" s="148"/>
      <c r="F317" s="93">
        <f t="shared" si="36"/>
        <v>0</v>
      </c>
      <c r="G317" s="93"/>
      <c r="H317" s="93">
        <f t="shared" si="36"/>
        <v>152631.23000000001</v>
      </c>
      <c r="I317" s="552">
        <f t="shared" si="36"/>
        <v>0</v>
      </c>
      <c r="J317" s="552"/>
    </row>
    <row r="318" spans="1:10" hidden="1" x14ac:dyDescent="0.25">
      <c r="A318" s="148"/>
      <c r="B318" s="48" t="s">
        <v>200</v>
      </c>
      <c r="C318" s="167"/>
      <c r="D318" s="167" t="s">
        <v>199</v>
      </c>
      <c r="E318" s="167"/>
      <c r="F318" s="50">
        <v>0</v>
      </c>
      <c r="G318" s="50"/>
      <c r="H318" s="50">
        <v>152631.23000000001</v>
      </c>
      <c r="I318" s="554">
        <v>0</v>
      </c>
      <c r="J318" s="554"/>
    </row>
    <row r="319" spans="1:10" hidden="1" x14ac:dyDescent="0.25">
      <c r="A319" s="187"/>
      <c r="B319" s="188"/>
      <c r="C319" s="208">
        <v>52</v>
      </c>
      <c r="D319" s="209" t="s">
        <v>227</v>
      </c>
      <c r="E319" s="209"/>
      <c r="F319" s="210">
        <f>F297+F315</f>
        <v>0</v>
      </c>
      <c r="G319" s="210"/>
      <c r="H319" s="210">
        <f>H297+H315</f>
        <v>291990.18000000005</v>
      </c>
      <c r="I319" s="566">
        <f>I297</f>
        <v>0</v>
      </c>
      <c r="J319" s="566"/>
    </row>
    <row r="320" spans="1:10" hidden="1" x14ac:dyDescent="0.25">
      <c r="A320" s="137" t="s">
        <v>86</v>
      </c>
      <c r="B320" s="137"/>
      <c r="C320" s="138"/>
      <c r="D320" s="139" t="s">
        <v>87</v>
      </c>
      <c r="E320" s="139"/>
      <c r="F320" s="225">
        <f>F321</f>
        <v>0</v>
      </c>
      <c r="G320" s="225"/>
      <c r="H320" s="225">
        <f>H321</f>
        <v>27208.170000000002</v>
      </c>
      <c r="I320" s="574">
        <f>I321</f>
        <v>0</v>
      </c>
      <c r="J320" s="574"/>
    </row>
    <row r="321" spans="1:10" hidden="1" x14ac:dyDescent="0.25">
      <c r="A321" s="105"/>
      <c r="B321" s="22">
        <v>32</v>
      </c>
      <c r="C321" s="141"/>
      <c r="D321" s="142" t="s">
        <v>102</v>
      </c>
      <c r="E321" s="142"/>
      <c r="F321" s="226">
        <f>F322</f>
        <v>0</v>
      </c>
      <c r="G321" s="226"/>
      <c r="H321" s="226">
        <f>H322+H325</f>
        <v>27208.170000000002</v>
      </c>
      <c r="I321" s="575">
        <f>I322+I325</f>
        <v>0</v>
      </c>
      <c r="J321" s="575"/>
    </row>
    <row r="322" spans="1:10" hidden="1" x14ac:dyDescent="0.25">
      <c r="A322" s="105"/>
      <c r="B322" s="43">
        <v>321</v>
      </c>
      <c r="C322" s="105"/>
      <c r="D322" s="105" t="s">
        <v>103</v>
      </c>
      <c r="E322" s="105"/>
      <c r="F322" s="46">
        <f>F324</f>
        <v>0</v>
      </c>
      <c r="G322" s="46"/>
      <c r="H322" s="46">
        <f>H324+H323</f>
        <v>663.61</v>
      </c>
      <c r="I322" s="551">
        <f>I324+I323</f>
        <v>0</v>
      </c>
      <c r="J322" s="551"/>
    </row>
    <row r="323" spans="1:10" s="51" customFormat="1" hidden="1" x14ac:dyDescent="0.25">
      <c r="A323" s="167"/>
      <c r="B323" s="48" t="s">
        <v>104</v>
      </c>
      <c r="C323" s="167"/>
      <c r="D323" s="167" t="s">
        <v>105</v>
      </c>
      <c r="E323" s="167"/>
      <c r="F323" s="50">
        <v>0</v>
      </c>
      <c r="G323" s="50"/>
      <c r="H323" s="50">
        <v>663.61</v>
      </c>
      <c r="I323" s="554">
        <v>0</v>
      </c>
      <c r="J323" s="554"/>
    </row>
    <row r="324" spans="1:10" hidden="1" x14ac:dyDescent="0.25">
      <c r="A324" s="167"/>
      <c r="B324" s="48" t="s">
        <v>108</v>
      </c>
      <c r="C324" s="167"/>
      <c r="D324" s="167" t="s">
        <v>109</v>
      </c>
      <c r="E324" s="167"/>
      <c r="F324" s="50"/>
      <c r="G324" s="50"/>
      <c r="H324" s="50">
        <v>0</v>
      </c>
      <c r="I324" s="554">
        <v>0</v>
      </c>
      <c r="J324" s="554"/>
    </row>
    <row r="325" spans="1:10" s="67" customFormat="1" hidden="1" x14ac:dyDescent="0.25">
      <c r="A325" s="148"/>
      <c r="B325" s="149" t="s">
        <v>112</v>
      </c>
      <c r="C325" s="148"/>
      <c r="D325" s="148" t="s">
        <v>113</v>
      </c>
      <c r="E325" s="148"/>
      <c r="F325" s="93">
        <f>F326</f>
        <v>0</v>
      </c>
      <c r="G325" s="93"/>
      <c r="H325" s="93">
        <f>H326</f>
        <v>26544.560000000001</v>
      </c>
      <c r="I325" s="552">
        <f>I326</f>
        <v>0</v>
      </c>
      <c r="J325" s="552"/>
    </row>
    <row r="326" spans="1:10" hidden="1" x14ac:dyDescent="0.25">
      <c r="A326" s="167"/>
      <c r="B326" s="48" t="s">
        <v>116</v>
      </c>
      <c r="C326" s="167"/>
      <c r="D326" s="167" t="s">
        <v>117</v>
      </c>
      <c r="E326" s="167"/>
      <c r="F326" s="50">
        <v>0</v>
      </c>
      <c r="G326" s="50"/>
      <c r="H326" s="50">
        <v>26544.560000000001</v>
      </c>
      <c r="I326" s="554">
        <v>0</v>
      </c>
      <c r="J326" s="554"/>
    </row>
    <row r="327" spans="1:10" hidden="1" x14ac:dyDescent="0.25">
      <c r="A327" s="227">
        <v>4</v>
      </c>
      <c r="B327" s="228"/>
      <c r="C327" s="229"/>
      <c r="D327" s="178" t="s">
        <v>174</v>
      </c>
      <c r="E327" s="178"/>
      <c r="F327" s="119">
        <f t="shared" ref="F327:I328" si="37">F328</f>
        <v>0</v>
      </c>
      <c r="G327" s="119"/>
      <c r="H327" s="119">
        <f t="shared" si="37"/>
        <v>92905.96</v>
      </c>
      <c r="I327" s="557">
        <f t="shared" si="37"/>
        <v>0</v>
      </c>
      <c r="J327" s="557"/>
    </row>
    <row r="328" spans="1:10" hidden="1" x14ac:dyDescent="0.25">
      <c r="A328" s="230"/>
      <c r="B328" s="22">
        <v>42</v>
      </c>
      <c r="C328" s="141"/>
      <c r="D328" s="142" t="s">
        <v>183</v>
      </c>
      <c r="E328" s="142"/>
      <c r="F328" s="226">
        <f t="shared" si="37"/>
        <v>0</v>
      </c>
      <c r="G328" s="226"/>
      <c r="H328" s="226">
        <f t="shared" si="37"/>
        <v>92905.96</v>
      </c>
      <c r="I328" s="575">
        <f t="shared" si="37"/>
        <v>0</v>
      </c>
      <c r="J328" s="575"/>
    </row>
    <row r="329" spans="1:10" hidden="1" x14ac:dyDescent="0.25">
      <c r="A329" s="231"/>
      <c r="B329" s="43">
        <v>422</v>
      </c>
      <c r="C329" s="105"/>
      <c r="D329" s="105" t="s">
        <v>184</v>
      </c>
      <c r="E329" s="105"/>
      <c r="F329" s="56">
        <f>SUM(F330:F332)</f>
        <v>0</v>
      </c>
      <c r="G329" s="56"/>
      <c r="H329" s="56">
        <f>SUM(H330:H333)</f>
        <v>92905.96</v>
      </c>
      <c r="I329" s="553">
        <f>SUM(I330:I333)</f>
        <v>0</v>
      </c>
      <c r="J329" s="553"/>
    </row>
    <row r="330" spans="1:10" s="51" customFormat="1" hidden="1" x14ac:dyDescent="0.25">
      <c r="A330" s="232"/>
      <c r="B330" s="48" t="s">
        <v>185</v>
      </c>
      <c r="C330" s="167"/>
      <c r="D330" s="167" t="s">
        <v>186</v>
      </c>
      <c r="E330" s="167"/>
      <c r="F330" s="66"/>
      <c r="G330" s="66"/>
      <c r="H330" s="66">
        <v>0</v>
      </c>
      <c r="I330" s="576">
        <v>0</v>
      </c>
      <c r="J330" s="576"/>
    </row>
    <row r="331" spans="1:10" s="51" customFormat="1" hidden="1" x14ac:dyDescent="0.25">
      <c r="A331" s="232"/>
      <c r="B331" s="48" t="s">
        <v>228</v>
      </c>
      <c r="C331" s="167"/>
      <c r="D331" s="167" t="s">
        <v>189</v>
      </c>
      <c r="E331" s="167"/>
      <c r="F331" s="66"/>
      <c r="G331" s="66"/>
      <c r="H331" s="66">
        <v>0</v>
      </c>
      <c r="I331" s="576">
        <v>0</v>
      </c>
      <c r="J331" s="576"/>
    </row>
    <row r="332" spans="1:10" hidden="1" x14ac:dyDescent="0.25">
      <c r="A332" s="231"/>
      <c r="B332" s="144" t="s">
        <v>229</v>
      </c>
      <c r="C332" s="143"/>
      <c r="D332" s="143" t="s">
        <v>190</v>
      </c>
      <c r="E332" s="143"/>
      <c r="F332" s="59"/>
      <c r="G332" s="59"/>
      <c r="H332" s="59">
        <v>92905.96</v>
      </c>
      <c r="I332" s="577">
        <v>0</v>
      </c>
      <c r="J332" s="577"/>
    </row>
    <row r="333" spans="1:10" hidden="1" x14ac:dyDescent="0.25">
      <c r="A333" s="231"/>
      <c r="B333" s="144" t="s">
        <v>230</v>
      </c>
      <c r="C333" s="143"/>
      <c r="D333" s="143" t="s">
        <v>191</v>
      </c>
      <c r="E333" s="143"/>
      <c r="F333" s="59"/>
      <c r="G333" s="59"/>
      <c r="H333" s="59">
        <v>0</v>
      </c>
      <c r="I333" s="577">
        <v>0</v>
      </c>
      <c r="J333" s="577"/>
    </row>
    <row r="334" spans="1:10" hidden="1" x14ac:dyDescent="0.25">
      <c r="A334" s="233"/>
      <c r="B334" s="234"/>
      <c r="C334" s="208" t="s">
        <v>71</v>
      </c>
      <c r="D334" s="209" t="s">
        <v>72</v>
      </c>
      <c r="E334" s="209"/>
      <c r="F334" s="38">
        <f>F327+F320</f>
        <v>0</v>
      </c>
      <c r="G334" s="38"/>
      <c r="H334" s="38">
        <f>H327+H320</f>
        <v>120114.13</v>
      </c>
      <c r="I334" s="549">
        <f>I327+I320</f>
        <v>0</v>
      </c>
      <c r="J334" s="549"/>
    </row>
    <row r="335" spans="1:10" hidden="1" x14ac:dyDescent="0.25">
      <c r="A335" s="137" t="s">
        <v>86</v>
      </c>
      <c r="B335" s="137"/>
      <c r="C335" s="138"/>
      <c r="D335" s="139" t="s">
        <v>87</v>
      </c>
      <c r="E335" s="139"/>
      <c r="F335" s="235">
        <f>SUM(F339,F336,F341)</f>
        <v>0</v>
      </c>
      <c r="G335" s="235"/>
      <c r="H335" s="235">
        <f>SUM(H339,H336)</f>
        <v>9954.2100000000009</v>
      </c>
      <c r="I335" s="578">
        <f>SUM(I339,I336)</f>
        <v>0</v>
      </c>
      <c r="J335" s="578"/>
    </row>
    <row r="336" spans="1:10" s="67" customFormat="1" hidden="1" x14ac:dyDescent="0.25">
      <c r="A336" s="236"/>
      <c r="B336" s="237" t="s">
        <v>112</v>
      </c>
      <c r="C336" s="238"/>
      <c r="D336" s="239" t="s">
        <v>113</v>
      </c>
      <c r="E336" s="239"/>
      <c r="F336" s="74">
        <f>F337</f>
        <v>0</v>
      </c>
      <c r="G336" s="74"/>
      <c r="H336" s="74">
        <f>H337</f>
        <v>6636.14</v>
      </c>
      <c r="I336" s="555">
        <f>SUM(I337:I338)</f>
        <v>0</v>
      </c>
      <c r="J336" s="555"/>
    </row>
    <row r="337" spans="1:10" s="51" customFormat="1" hidden="1" x14ac:dyDescent="0.25">
      <c r="A337" s="240"/>
      <c r="B337" s="241" t="s">
        <v>116</v>
      </c>
      <c r="C337" s="242"/>
      <c r="D337" s="243" t="s">
        <v>117</v>
      </c>
      <c r="E337" s="243"/>
      <c r="F337" s="75">
        <v>0</v>
      </c>
      <c r="G337" s="75"/>
      <c r="H337" s="75">
        <v>6636.14</v>
      </c>
      <c r="I337" s="579">
        <v>0</v>
      </c>
      <c r="J337" s="579"/>
    </row>
    <row r="338" spans="1:10" s="51" customFormat="1" hidden="1" x14ac:dyDescent="0.25">
      <c r="A338" s="240"/>
      <c r="B338" s="241" t="s">
        <v>120</v>
      </c>
      <c r="C338" s="167"/>
      <c r="D338" s="244" t="s">
        <v>121</v>
      </c>
      <c r="E338" s="244"/>
      <c r="F338" s="75"/>
      <c r="G338" s="75"/>
      <c r="H338" s="75"/>
      <c r="I338" s="579">
        <v>0</v>
      </c>
      <c r="J338" s="579"/>
    </row>
    <row r="339" spans="1:10" hidden="1" x14ac:dyDescent="0.25">
      <c r="A339" s="233"/>
      <c r="B339" s="245" t="s">
        <v>126</v>
      </c>
      <c r="C339" s="246"/>
      <c r="D339" s="247" t="s">
        <v>127</v>
      </c>
      <c r="E339" s="247"/>
      <c r="F339" s="74">
        <f>SUM(F340)</f>
        <v>0</v>
      </c>
      <c r="G339" s="74"/>
      <c r="H339" s="74">
        <f>SUM(H340)</f>
        <v>3318.07</v>
      </c>
      <c r="I339" s="555">
        <f>SUM(I340)</f>
        <v>0</v>
      </c>
      <c r="J339" s="555"/>
    </row>
    <row r="340" spans="1:10" hidden="1" x14ac:dyDescent="0.25">
      <c r="A340" s="233"/>
      <c r="B340" s="248" t="s">
        <v>130</v>
      </c>
      <c r="C340" s="249"/>
      <c r="D340" s="250" t="s">
        <v>131</v>
      </c>
      <c r="E340" s="250"/>
      <c r="F340" s="75"/>
      <c r="G340" s="75"/>
      <c r="H340" s="75">
        <v>3318.07</v>
      </c>
      <c r="I340" s="579">
        <v>0</v>
      </c>
      <c r="J340" s="579"/>
    </row>
    <row r="341" spans="1:10" s="67" customFormat="1" hidden="1" x14ac:dyDescent="0.25">
      <c r="A341" s="233"/>
      <c r="B341" s="245" t="s">
        <v>219</v>
      </c>
      <c r="C341" s="251"/>
      <c r="D341" s="247" t="s">
        <v>220</v>
      </c>
      <c r="E341" s="247"/>
      <c r="F341" s="74">
        <f>F342</f>
        <v>0</v>
      </c>
      <c r="G341" s="74"/>
      <c r="H341" s="74">
        <f>H342</f>
        <v>0</v>
      </c>
      <c r="I341" s="555">
        <f>I342</f>
        <v>0</v>
      </c>
      <c r="J341" s="555"/>
    </row>
    <row r="342" spans="1:10" hidden="1" x14ac:dyDescent="0.25">
      <c r="A342" s="233"/>
      <c r="B342" s="248" t="s">
        <v>231</v>
      </c>
      <c r="C342" s="249"/>
      <c r="D342" s="250" t="s">
        <v>147</v>
      </c>
      <c r="E342" s="250"/>
      <c r="F342" s="75"/>
      <c r="G342" s="75"/>
      <c r="H342" s="75">
        <v>0</v>
      </c>
      <c r="I342" s="579">
        <v>0</v>
      </c>
      <c r="J342" s="579"/>
    </row>
    <row r="343" spans="1:10" hidden="1" x14ac:dyDescent="0.25">
      <c r="A343" s="227">
        <v>4</v>
      </c>
      <c r="B343" s="252"/>
      <c r="C343" s="252"/>
      <c r="D343" s="253" t="s">
        <v>174</v>
      </c>
      <c r="E343" s="253"/>
      <c r="F343" s="254">
        <f>F344</f>
        <v>0</v>
      </c>
      <c r="G343" s="254"/>
      <c r="H343" s="254">
        <f>H344</f>
        <v>796.34</v>
      </c>
      <c r="I343" s="580">
        <f>I344</f>
        <v>0</v>
      </c>
      <c r="J343" s="580"/>
    </row>
    <row r="344" spans="1:10" hidden="1" x14ac:dyDescent="0.25">
      <c r="A344" s="105"/>
      <c r="B344" s="22">
        <v>42</v>
      </c>
      <c r="C344" s="141"/>
      <c r="D344" s="142" t="s">
        <v>183</v>
      </c>
      <c r="E344" s="142"/>
      <c r="F344" s="42">
        <f t="shared" ref="F344:I347" si="38">SUM(F345)</f>
        <v>0</v>
      </c>
      <c r="G344" s="42"/>
      <c r="H344" s="42">
        <f t="shared" si="38"/>
        <v>796.34</v>
      </c>
      <c r="I344" s="550">
        <f>SUM(I345,I347)</f>
        <v>0</v>
      </c>
      <c r="J344" s="550"/>
    </row>
    <row r="345" spans="1:10" hidden="1" x14ac:dyDescent="0.25">
      <c r="A345" s="255"/>
      <c r="B345" s="43">
        <v>422</v>
      </c>
      <c r="C345" s="105"/>
      <c r="D345" s="105" t="s">
        <v>184</v>
      </c>
      <c r="E345" s="105"/>
      <c r="F345" s="56">
        <f t="shared" si="38"/>
        <v>0</v>
      </c>
      <c r="G345" s="56"/>
      <c r="H345" s="56">
        <f t="shared" si="38"/>
        <v>796.34</v>
      </c>
      <c r="I345" s="553">
        <f t="shared" si="38"/>
        <v>0</v>
      </c>
      <c r="J345" s="553"/>
    </row>
    <row r="346" spans="1:10" hidden="1" x14ac:dyDescent="0.25">
      <c r="A346" s="256"/>
      <c r="B346" s="144" t="s">
        <v>229</v>
      </c>
      <c r="C346" s="143"/>
      <c r="D346" s="143" t="s">
        <v>190</v>
      </c>
      <c r="E346" s="143"/>
      <c r="F346" s="59"/>
      <c r="G346" s="59"/>
      <c r="H346" s="59">
        <v>796.34</v>
      </c>
      <c r="I346" s="577">
        <v>0</v>
      </c>
      <c r="J346" s="577"/>
    </row>
    <row r="347" spans="1:10" hidden="1" x14ac:dyDescent="0.25">
      <c r="A347" s="257"/>
      <c r="B347" s="258" t="s">
        <v>232</v>
      </c>
      <c r="C347" s="259"/>
      <c r="D347" s="259" t="s">
        <v>194</v>
      </c>
      <c r="E347" s="259"/>
      <c r="F347" s="260"/>
      <c r="G347" s="260"/>
      <c r="H347" s="56">
        <f t="shared" si="38"/>
        <v>0</v>
      </c>
      <c r="I347" s="553">
        <f t="shared" si="38"/>
        <v>0</v>
      </c>
      <c r="J347" s="553"/>
    </row>
    <row r="348" spans="1:10" hidden="1" x14ac:dyDescent="0.25">
      <c r="A348" s="257"/>
      <c r="B348" s="261" t="s">
        <v>233</v>
      </c>
      <c r="C348" s="262"/>
      <c r="D348" s="262" t="s">
        <v>195</v>
      </c>
      <c r="E348" s="262"/>
      <c r="F348" s="263"/>
      <c r="G348" s="263"/>
      <c r="H348" s="263"/>
      <c r="I348" s="581">
        <v>0</v>
      </c>
      <c r="J348" s="581"/>
    </row>
    <row r="349" spans="1:10" ht="30.75" hidden="1" thickBot="1" x14ac:dyDescent="0.3">
      <c r="A349" s="264"/>
      <c r="B349" s="265"/>
      <c r="C349" s="266" t="s">
        <v>234</v>
      </c>
      <c r="D349" s="267" t="s">
        <v>235</v>
      </c>
      <c r="E349" s="267"/>
      <c r="F349" s="127">
        <f>SUM(F344,F335)</f>
        <v>0</v>
      </c>
      <c r="G349" s="127"/>
      <c r="H349" s="268">
        <f>H335+H343</f>
        <v>10750.550000000001</v>
      </c>
      <c r="I349" s="582">
        <f>SUM(I344,I335)</f>
        <v>0</v>
      </c>
      <c r="J349" s="582"/>
    </row>
    <row r="350" spans="1:10" ht="16.5" hidden="1" thickBot="1" x14ac:dyDescent="0.3">
      <c r="A350" s="928" t="s">
        <v>236</v>
      </c>
      <c r="B350" s="929"/>
      <c r="C350" s="929"/>
      <c r="D350" s="930"/>
      <c r="E350" s="542"/>
      <c r="F350" s="269">
        <f>F104+F168+F192+F249+F268+F297+F315+F320+F327+F335+F343</f>
        <v>0</v>
      </c>
      <c r="G350" s="269"/>
      <c r="H350" s="269">
        <f>H104+H168+H192+H249+H268+H297+H315+H320+H327+H335+H343</f>
        <v>65101801.729999997</v>
      </c>
      <c r="I350" s="583">
        <f>I104+I168+I192+I249+I268+I297+I320+I327+I335+I343+I293+I315</f>
        <v>0</v>
      </c>
      <c r="J350" s="583"/>
    </row>
    <row r="351" spans="1:10" hidden="1" x14ac:dyDescent="0.25">
      <c r="D351" s="157"/>
      <c r="E351" s="157"/>
      <c r="H351" s="271" t="s">
        <v>237</v>
      </c>
      <c r="I351" s="584"/>
      <c r="J351" s="584"/>
    </row>
    <row r="352" spans="1:10" hidden="1" x14ac:dyDescent="0.25">
      <c r="H352" s="272"/>
      <c r="I352" s="585">
        <f>I350+I351</f>
        <v>0</v>
      </c>
      <c r="J352" s="585"/>
    </row>
    <row r="354" spans="4:10" hidden="1" x14ac:dyDescent="0.25">
      <c r="D354" s="274"/>
      <c r="E354" s="274"/>
      <c r="F354" s="275"/>
      <c r="G354" s="275"/>
      <c r="I354" s="587">
        <f>I97-I352</f>
        <v>0</v>
      </c>
      <c r="J354" s="587"/>
    </row>
    <row r="355" spans="4:10" x14ac:dyDescent="0.25">
      <c r="D355" s="274"/>
      <c r="E355" s="274"/>
      <c r="F355" s="275"/>
      <c r="G355" s="275"/>
      <c r="H355" s="103"/>
    </row>
    <row r="356" spans="4:10" x14ac:dyDescent="0.25">
      <c r="D356" s="157"/>
      <c r="E356" s="157"/>
      <c r="F356" s="275"/>
      <c r="G356" s="275"/>
    </row>
  </sheetData>
  <mergeCells count="9">
    <mergeCell ref="A101:I101"/>
    <mergeCell ref="A103:D103"/>
    <mergeCell ref="A350:D350"/>
    <mergeCell ref="A1:I1"/>
    <mergeCell ref="A2:I2"/>
    <mergeCell ref="A3:I3"/>
    <mergeCell ref="A5:I5"/>
    <mergeCell ref="A7:D7"/>
    <mergeCell ref="A95:D95"/>
  </mergeCells>
  <phoneticPr fontId="131" type="noConversion"/>
  <pageMargins left="0.7" right="0.7" top="0.75" bottom="0.75" header="0.3" footer="0.3"/>
  <pageSetup paperSize="9" scale="5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502"/>
  <sheetViews>
    <sheetView zoomScale="112" zoomScaleNormal="112" workbookViewId="0">
      <selection sqref="A1:I1"/>
    </sheetView>
  </sheetViews>
  <sheetFormatPr defaultRowHeight="15" x14ac:dyDescent="0.25"/>
  <cols>
    <col min="1" max="1" width="7" style="3" bestFit="1" customWidth="1"/>
    <col min="2" max="2" width="8.42578125" style="3" customWidth="1"/>
    <col min="3" max="3" width="5.28515625" style="3" bestFit="1" customWidth="1"/>
    <col min="4" max="4" width="65.5703125" style="3" bestFit="1" customWidth="1"/>
    <col min="5" max="5" width="22.140625" style="3" customWidth="1"/>
    <col min="6" max="7" width="16.7109375" style="270" bestFit="1" customWidth="1"/>
    <col min="8" max="8" width="16.7109375" style="3" bestFit="1" customWidth="1"/>
    <col min="9" max="10" width="8.7109375" style="3" bestFit="1" customWidth="1"/>
    <col min="11" max="14" width="15.140625" style="3" customWidth="1"/>
    <col min="15" max="15" width="16.7109375" style="3" hidden="1" customWidth="1"/>
    <col min="16" max="16" width="16.42578125" style="3" hidden="1" customWidth="1"/>
    <col min="17" max="17" width="12.5703125" style="3" hidden="1" customWidth="1"/>
    <col min="18" max="19" width="10.7109375" style="3" bestFit="1" customWidth="1"/>
    <col min="20" max="20" width="10.28515625" style="3" bestFit="1" customWidth="1"/>
    <col min="21" max="21" width="11.85546875" style="3" bestFit="1" customWidth="1"/>
    <col min="22" max="22" width="15.42578125" style="3" customWidth="1"/>
    <col min="23" max="255" width="9.140625" style="3"/>
    <col min="256" max="256" width="7" style="3" bestFit="1" customWidth="1"/>
    <col min="257" max="257" width="8.42578125" style="3" customWidth="1"/>
    <col min="258" max="258" width="5.28515625" style="3" bestFit="1" customWidth="1"/>
    <col min="259" max="259" width="58.140625" style="3" customWidth="1"/>
    <col min="260" max="260" width="0" style="3" hidden="1" customWidth="1"/>
    <col min="261" max="261" width="18.42578125" style="3" bestFit="1" customWidth="1"/>
    <col min="262" max="262" width="0" style="3" hidden="1" customWidth="1"/>
    <col min="263" max="263" width="18.42578125" style="3" customWidth="1"/>
    <col min="264" max="264" width="0" style="3" hidden="1" customWidth="1"/>
    <col min="265" max="265" width="9.140625" style="3"/>
    <col min="266" max="266" width="0" style="3" hidden="1" customWidth="1"/>
    <col min="267" max="270" width="15.140625" style="3" customWidth="1"/>
    <col min="271" max="273" width="0" style="3" hidden="1" customWidth="1"/>
    <col min="274" max="275" width="10.7109375" style="3" bestFit="1" customWidth="1"/>
    <col min="276" max="276" width="10.28515625" style="3" bestFit="1" customWidth="1"/>
    <col min="277" max="277" width="11.85546875" style="3" bestFit="1" customWidth="1"/>
    <col min="278" max="278" width="15.42578125" style="3" customWidth="1"/>
    <col min="279" max="511" width="9.140625" style="3"/>
    <col min="512" max="512" width="7" style="3" bestFit="1" customWidth="1"/>
    <col min="513" max="513" width="8.42578125" style="3" customWidth="1"/>
    <col min="514" max="514" width="5.28515625" style="3" bestFit="1" customWidth="1"/>
    <col min="515" max="515" width="58.140625" style="3" customWidth="1"/>
    <col min="516" max="516" width="0" style="3" hidden="1" customWidth="1"/>
    <col min="517" max="517" width="18.42578125" style="3" bestFit="1" customWidth="1"/>
    <col min="518" max="518" width="0" style="3" hidden="1" customWidth="1"/>
    <col min="519" max="519" width="18.42578125" style="3" customWidth="1"/>
    <col min="520" max="520" width="0" style="3" hidden="1" customWidth="1"/>
    <col min="521" max="521" width="9.140625" style="3"/>
    <col min="522" max="522" width="0" style="3" hidden="1" customWidth="1"/>
    <col min="523" max="526" width="15.140625" style="3" customWidth="1"/>
    <col min="527" max="529" width="0" style="3" hidden="1" customWidth="1"/>
    <col min="530" max="531" width="10.7109375" style="3" bestFit="1" customWidth="1"/>
    <col min="532" max="532" width="10.28515625" style="3" bestFit="1" customWidth="1"/>
    <col min="533" max="533" width="11.85546875" style="3" bestFit="1" customWidth="1"/>
    <col min="534" max="534" width="15.42578125" style="3" customWidth="1"/>
    <col min="535" max="767" width="9.140625" style="3"/>
    <col min="768" max="768" width="7" style="3" bestFit="1" customWidth="1"/>
    <col min="769" max="769" width="8.42578125" style="3" customWidth="1"/>
    <col min="770" max="770" width="5.28515625" style="3" bestFit="1" customWidth="1"/>
    <col min="771" max="771" width="58.140625" style="3" customWidth="1"/>
    <col min="772" max="772" width="0" style="3" hidden="1" customWidth="1"/>
    <col min="773" max="773" width="18.42578125" style="3" bestFit="1" customWidth="1"/>
    <col min="774" max="774" width="0" style="3" hidden="1" customWidth="1"/>
    <col min="775" max="775" width="18.42578125" style="3" customWidth="1"/>
    <col min="776" max="776" width="0" style="3" hidden="1" customWidth="1"/>
    <col min="777" max="777" width="9.140625" style="3"/>
    <col min="778" max="778" width="0" style="3" hidden="1" customWidth="1"/>
    <col min="779" max="782" width="15.140625" style="3" customWidth="1"/>
    <col min="783" max="785" width="0" style="3" hidden="1" customWidth="1"/>
    <col min="786" max="787" width="10.7109375" style="3" bestFit="1" customWidth="1"/>
    <col min="788" max="788" width="10.28515625" style="3" bestFit="1" customWidth="1"/>
    <col min="789" max="789" width="11.85546875" style="3" bestFit="1" customWidth="1"/>
    <col min="790" max="790" width="15.42578125" style="3" customWidth="1"/>
    <col min="791" max="1023" width="9.140625" style="3"/>
    <col min="1024" max="1024" width="7" style="3" bestFit="1" customWidth="1"/>
    <col min="1025" max="1025" width="8.42578125" style="3" customWidth="1"/>
    <col min="1026" max="1026" width="5.28515625" style="3" bestFit="1" customWidth="1"/>
    <col min="1027" max="1027" width="58.140625" style="3" customWidth="1"/>
    <col min="1028" max="1028" width="0" style="3" hidden="1" customWidth="1"/>
    <col min="1029" max="1029" width="18.42578125" style="3" bestFit="1" customWidth="1"/>
    <col min="1030" max="1030" width="0" style="3" hidden="1" customWidth="1"/>
    <col min="1031" max="1031" width="18.42578125" style="3" customWidth="1"/>
    <col min="1032" max="1032" width="0" style="3" hidden="1" customWidth="1"/>
    <col min="1033" max="1033" width="9.140625" style="3"/>
    <col min="1034" max="1034" width="0" style="3" hidden="1" customWidth="1"/>
    <col min="1035" max="1038" width="15.140625" style="3" customWidth="1"/>
    <col min="1039" max="1041" width="0" style="3" hidden="1" customWidth="1"/>
    <col min="1042" max="1043" width="10.7109375" style="3" bestFit="1" customWidth="1"/>
    <col min="1044" max="1044" width="10.28515625" style="3" bestFit="1" customWidth="1"/>
    <col min="1045" max="1045" width="11.85546875" style="3" bestFit="1" customWidth="1"/>
    <col min="1046" max="1046" width="15.42578125" style="3" customWidth="1"/>
    <col min="1047" max="1279" width="9.140625" style="3"/>
    <col min="1280" max="1280" width="7" style="3" bestFit="1" customWidth="1"/>
    <col min="1281" max="1281" width="8.42578125" style="3" customWidth="1"/>
    <col min="1282" max="1282" width="5.28515625" style="3" bestFit="1" customWidth="1"/>
    <col min="1283" max="1283" width="58.140625" style="3" customWidth="1"/>
    <col min="1284" max="1284" width="0" style="3" hidden="1" customWidth="1"/>
    <col min="1285" max="1285" width="18.42578125" style="3" bestFit="1" customWidth="1"/>
    <col min="1286" max="1286" width="0" style="3" hidden="1" customWidth="1"/>
    <col min="1287" max="1287" width="18.42578125" style="3" customWidth="1"/>
    <col min="1288" max="1288" width="0" style="3" hidden="1" customWidth="1"/>
    <col min="1289" max="1289" width="9.140625" style="3"/>
    <col min="1290" max="1290" width="0" style="3" hidden="1" customWidth="1"/>
    <col min="1291" max="1294" width="15.140625" style="3" customWidth="1"/>
    <col min="1295" max="1297" width="0" style="3" hidden="1" customWidth="1"/>
    <col min="1298" max="1299" width="10.7109375" style="3" bestFit="1" customWidth="1"/>
    <col min="1300" max="1300" width="10.28515625" style="3" bestFit="1" customWidth="1"/>
    <col min="1301" max="1301" width="11.85546875" style="3" bestFit="1" customWidth="1"/>
    <col min="1302" max="1302" width="15.42578125" style="3" customWidth="1"/>
    <col min="1303" max="1535" width="9.140625" style="3"/>
    <col min="1536" max="1536" width="7" style="3" bestFit="1" customWidth="1"/>
    <col min="1537" max="1537" width="8.42578125" style="3" customWidth="1"/>
    <col min="1538" max="1538" width="5.28515625" style="3" bestFit="1" customWidth="1"/>
    <col min="1539" max="1539" width="58.140625" style="3" customWidth="1"/>
    <col min="1540" max="1540" width="0" style="3" hidden="1" customWidth="1"/>
    <col min="1541" max="1541" width="18.42578125" style="3" bestFit="1" customWidth="1"/>
    <col min="1542" max="1542" width="0" style="3" hidden="1" customWidth="1"/>
    <col min="1543" max="1543" width="18.42578125" style="3" customWidth="1"/>
    <col min="1544" max="1544" width="0" style="3" hidden="1" customWidth="1"/>
    <col min="1545" max="1545" width="9.140625" style="3"/>
    <col min="1546" max="1546" width="0" style="3" hidden="1" customWidth="1"/>
    <col min="1547" max="1550" width="15.140625" style="3" customWidth="1"/>
    <col min="1551" max="1553" width="0" style="3" hidden="1" customWidth="1"/>
    <col min="1554" max="1555" width="10.7109375" style="3" bestFit="1" customWidth="1"/>
    <col min="1556" max="1556" width="10.28515625" style="3" bestFit="1" customWidth="1"/>
    <col min="1557" max="1557" width="11.85546875" style="3" bestFit="1" customWidth="1"/>
    <col min="1558" max="1558" width="15.42578125" style="3" customWidth="1"/>
    <col min="1559" max="1791" width="9.140625" style="3"/>
    <col min="1792" max="1792" width="7" style="3" bestFit="1" customWidth="1"/>
    <col min="1793" max="1793" width="8.42578125" style="3" customWidth="1"/>
    <col min="1794" max="1794" width="5.28515625" style="3" bestFit="1" customWidth="1"/>
    <col min="1795" max="1795" width="58.140625" style="3" customWidth="1"/>
    <col min="1796" max="1796" width="0" style="3" hidden="1" customWidth="1"/>
    <col min="1797" max="1797" width="18.42578125" style="3" bestFit="1" customWidth="1"/>
    <col min="1798" max="1798" width="0" style="3" hidden="1" customWidth="1"/>
    <col min="1799" max="1799" width="18.42578125" style="3" customWidth="1"/>
    <col min="1800" max="1800" width="0" style="3" hidden="1" customWidth="1"/>
    <col min="1801" max="1801" width="9.140625" style="3"/>
    <col min="1802" max="1802" width="0" style="3" hidden="1" customWidth="1"/>
    <col min="1803" max="1806" width="15.140625" style="3" customWidth="1"/>
    <col min="1807" max="1809" width="0" style="3" hidden="1" customWidth="1"/>
    <col min="1810" max="1811" width="10.7109375" style="3" bestFit="1" customWidth="1"/>
    <col min="1812" max="1812" width="10.28515625" style="3" bestFit="1" customWidth="1"/>
    <col min="1813" max="1813" width="11.85546875" style="3" bestFit="1" customWidth="1"/>
    <col min="1814" max="1814" width="15.42578125" style="3" customWidth="1"/>
    <col min="1815" max="2047" width="9.140625" style="3"/>
    <col min="2048" max="2048" width="7" style="3" bestFit="1" customWidth="1"/>
    <col min="2049" max="2049" width="8.42578125" style="3" customWidth="1"/>
    <col min="2050" max="2050" width="5.28515625" style="3" bestFit="1" customWidth="1"/>
    <col min="2051" max="2051" width="58.140625" style="3" customWidth="1"/>
    <col min="2052" max="2052" width="0" style="3" hidden="1" customWidth="1"/>
    <col min="2053" max="2053" width="18.42578125" style="3" bestFit="1" customWidth="1"/>
    <col min="2054" max="2054" width="0" style="3" hidden="1" customWidth="1"/>
    <col min="2055" max="2055" width="18.42578125" style="3" customWidth="1"/>
    <col min="2056" max="2056" width="0" style="3" hidden="1" customWidth="1"/>
    <col min="2057" max="2057" width="9.140625" style="3"/>
    <col min="2058" max="2058" width="0" style="3" hidden="1" customWidth="1"/>
    <col min="2059" max="2062" width="15.140625" style="3" customWidth="1"/>
    <col min="2063" max="2065" width="0" style="3" hidden="1" customWidth="1"/>
    <col min="2066" max="2067" width="10.7109375" style="3" bestFit="1" customWidth="1"/>
    <col min="2068" max="2068" width="10.28515625" style="3" bestFit="1" customWidth="1"/>
    <col min="2069" max="2069" width="11.85546875" style="3" bestFit="1" customWidth="1"/>
    <col min="2070" max="2070" width="15.42578125" style="3" customWidth="1"/>
    <col min="2071" max="2303" width="9.140625" style="3"/>
    <col min="2304" max="2304" width="7" style="3" bestFit="1" customWidth="1"/>
    <col min="2305" max="2305" width="8.42578125" style="3" customWidth="1"/>
    <col min="2306" max="2306" width="5.28515625" style="3" bestFit="1" customWidth="1"/>
    <col min="2307" max="2307" width="58.140625" style="3" customWidth="1"/>
    <col min="2308" max="2308" width="0" style="3" hidden="1" customWidth="1"/>
    <col min="2309" max="2309" width="18.42578125" style="3" bestFit="1" customWidth="1"/>
    <col min="2310" max="2310" width="0" style="3" hidden="1" customWidth="1"/>
    <col min="2311" max="2311" width="18.42578125" style="3" customWidth="1"/>
    <col min="2312" max="2312" width="0" style="3" hidden="1" customWidth="1"/>
    <col min="2313" max="2313" width="9.140625" style="3"/>
    <col min="2314" max="2314" width="0" style="3" hidden="1" customWidth="1"/>
    <col min="2315" max="2318" width="15.140625" style="3" customWidth="1"/>
    <col min="2319" max="2321" width="0" style="3" hidden="1" customWidth="1"/>
    <col min="2322" max="2323" width="10.7109375" style="3" bestFit="1" customWidth="1"/>
    <col min="2324" max="2324" width="10.28515625" style="3" bestFit="1" customWidth="1"/>
    <col min="2325" max="2325" width="11.85546875" style="3" bestFit="1" customWidth="1"/>
    <col min="2326" max="2326" width="15.42578125" style="3" customWidth="1"/>
    <col min="2327" max="2559" width="9.140625" style="3"/>
    <col min="2560" max="2560" width="7" style="3" bestFit="1" customWidth="1"/>
    <col min="2561" max="2561" width="8.42578125" style="3" customWidth="1"/>
    <col min="2562" max="2562" width="5.28515625" style="3" bestFit="1" customWidth="1"/>
    <col min="2563" max="2563" width="58.140625" style="3" customWidth="1"/>
    <col min="2564" max="2564" width="0" style="3" hidden="1" customWidth="1"/>
    <col min="2565" max="2565" width="18.42578125" style="3" bestFit="1" customWidth="1"/>
    <col min="2566" max="2566" width="0" style="3" hidden="1" customWidth="1"/>
    <col min="2567" max="2567" width="18.42578125" style="3" customWidth="1"/>
    <col min="2568" max="2568" width="0" style="3" hidden="1" customWidth="1"/>
    <col min="2569" max="2569" width="9.140625" style="3"/>
    <col min="2570" max="2570" width="0" style="3" hidden="1" customWidth="1"/>
    <col min="2571" max="2574" width="15.140625" style="3" customWidth="1"/>
    <col min="2575" max="2577" width="0" style="3" hidden="1" customWidth="1"/>
    <col min="2578" max="2579" width="10.7109375" style="3" bestFit="1" customWidth="1"/>
    <col min="2580" max="2580" width="10.28515625" style="3" bestFit="1" customWidth="1"/>
    <col min="2581" max="2581" width="11.85546875" style="3" bestFit="1" customWidth="1"/>
    <col min="2582" max="2582" width="15.42578125" style="3" customWidth="1"/>
    <col min="2583" max="2815" width="9.140625" style="3"/>
    <col min="2816" max="2816" width="7" style="3" bestFit="1" customWidth="1"/>
    <col min="2817" max="2817" width="8.42578125" style="3" customWidth="1"/>
    <col min="2818" max="2818" width="5.28515625" style="3" bestFit="1" customWidth="1"/>
    <col min="2819" max="2819" width="58.140625" style="3" customWidth="1"/>
    <col min="2820" max="2820" width="0" style="3" hidden="1" customWidth="1"/>
    <col min="2821" max="2821" width="18.42578125" style="3" bestFit="1" customWidth="1"/>
    <col min="2822" max="2822" width="0" style="3" hidden="1" customWidth="1"/>
    <col min="2823" max="2823" width="18.42578125" style="3" customWidth="1"/>
    <col min="2824" max="2824" width="0" style="3" hidden="1" customWidth="1"/>
    <col min="2825" max="2825" width="9.140625" style="3"/>
    <col min="2826" max="2826" width="0" style="3" hidden="1" customWidth="1"/>
    <col min="2827" max="2830" width="15.140625" style="3" customWidth="1"/>
    <col min="2831" max="2833" width="0" style="3" hidden="1" customWidth="1"/>
    <col min="2834" max="2835" width="10.7109375" style="3" bestFit="1" customWidth="1"/>
    <col min="2836" max="2836" width="10.28515625" style="3" bestFit="1" customWidth="1"/>
    <col min="2837" max="2837" width="11.85546875" style="3" bestFit="1" customWidth="1"/>
    <col min="2838" max="2838" width="15.42578125" style="3" customWidth="1"/>
    <col min="2839" max="3071" width="9.140625" style="3"/>
    <col min="3072" max="3072" width="7" style="3" bestFit="1" customWidth="1"/>
    <col min="3073" max="3073" width="8.42578125" style="3" customWidth="1"/>
    <col min="3074" max="3074" width="5.28515625" style="3" bestFit="1" customWidth="1"/>
    <col min="3075" max="3075" width="58.140625" style="3" customWidth="1"/>
    <col min="3076" max="3076" width="0" style="3" hidden="1" customWidth="1"/>
    <col min="3077" max="3077" width="18.42578125" style="3" bestFit="1" customWidth="1"/>
    <col min="3078" max="3078" width="0" style="3" hidden="1" customWidth="1"/>
    <col min="3079" max="3079" width="18.42578125" style="3" customWidth="1"/>
    <col min="3080" max="3080" width="0" style="3" hidden="1" customWidth="1"/>
    <col min="3081" max="3081" width="9.140625" style="3"/>
    <col min="3082" max="3082" width="0" style="3" hidden="1" customWidth="1"/>
    <col min="3083" max="3086" width="15.140625" style="3" customWidth="1"/>
    <col min="3087" max="3089" width="0" style="3" hidden="1" customWidth="1"/>
    <col min="3090" max="3091" width="10.7109375" style="3" bestFit="1" customWidth="1"/>
    <col min="3092" max="3092" width="10.28515625" style="3" bestFit="1" customWidth="1"/>
    <col min="3093" max="3093" width="11.85546875" style="3" bestFit="1" customWidth="1"/>
    <col min="3094" max="3094" width="15.42578125" style="3" customWidth="1"/>
    <col min="3095" max="3327" width="9.140625" style="3"/>
    <col min="3328" max="3328" width="7" style="3" bestFit="1" customWidth="1"/>
    <col min="3329" max="3329" width="8.42578125" style="3" customWidth="1"/>
    <col min="3330" max="3330" width="5.28515625" style="3" bestFit="1" customWidth="1"/>
    <col min="3331" max="3331" width="58.140625" style="3" customWidth="1"/>
    <col min="3332" max="3332" width="0" style="3" hidden="1" customWidth="1"/>
    <col min="3333" max="3333" width="18.42578125" style="3" bestFit="1" customWidth="1"/>
    <col min="3334" max="3334" width="0" style="3" hidden="1" customWidth="1"/>
    <col min="3335" max="3335" width="18.42578125" style="3" customWidth="1"/>
    <col min="3336" max="3336" width="0" style="3" hidden="1" customWidth="1"/>
    <col min="3337" max="3337" width="9.140625" style="3"/>
    <col min="3338" max="3338" width="0" style="3" hidden="1" customWidth="1"/>
    <col min="3339" max="3342" width="15.140625" style="3" customWidth="1"/>
    <col min="3343" max="3345" width="0" style="3" hidden="1" customWidth="1"/>
    <col min="3346" max="3347" width="10.7109375" style="3" bestFit="1" customWidth="1"/>
    <col min="3348" max="3348" width="10.28515625" style="3" bestFit="1" customWidth="1"/>
    <col min="3349" max="3349" width="11.85546875" style="3" bestFit="1" customWidth="1"/>
    <col min="3350" max="3350" width="15.42578125" style="3" customWidth="1"/>
    <col min="3351" max="3583" width="9.140625" style="3"/>
    <col min="3584" max="3584" width="7" style="3" bestFit="1" customWidth="1"/>
    <col min="3585" max="3585" width="8.42578125" style="3" customWidth="1"/>
    <col min="3586" max="3586" width="5.28515625" style="3" bestFit="1" customWidth="1"/>
    <col min="3587" max="3587" width="58.140625" style="3" customWidth="1"/>
    <col min="3588" max="3588" width="0" style="3" hidden="1" customWidth="1"/>
    <col min="3589" max="3589" width="18.42578125" style="3" bestFit="1" customWidth="1"/>
    <col min="3590" max="3590" width="0" style="3" hidden="1" customWidth="1"/>
    <col min="3591" max="3591" width="18.42578125" style="3" customWidth="1"/>
    <col min="3592" max="3592" width="0" style="3" hidden="1" customWidth="1"/>
    <col min="3593" max="3593" width="9.140625" style="3"/>
    <col min="3594" max="3594" width="0" style="3" hidden="1" customWidth="1"/>
    <col min="3595" max="3598" width="15.140625" style="3" customWidth="1"/>
    <col min="3599" max="3601" width="0" style="3" hidden="1" customWidth="1"/>
    <col min="3602" max="3603" width="10.7109375" style="3" bestFit="1" customWidth="1"/>
    <col min="3604" max="3604" width="10.28515625" style="3" bestFit="1" customWidth="1"/>
    <col min="3605" max="3605" width="11.85546875" style="3" bestFit="1" customWidth="1"/>
    <col min="3606" max="3606" width="15.42578125" style="3" customWidth="1"/>
    <col min="3607" max="3839" width="9.140625" style="3"/>
    <col min="3840" max="3840" width="7" style="3" bestFit="1" customWidth="1"/>
    <col min="3841" max="3841" width="8.42578125" style="3" customWidth="1"/>
    <col min="3842" max="3842" width="5.28515625" style="3" bestFit="1" customWidth="1"/>
    <col min="3843" max="3843" width="58.140625" style="3" customWidth="1"/>
    <col min="3844" max="3844" width="0" style="3" hidden="1" customWidth="1"/>
    <col min="3845" max="3845" width="18.42578125" style="3" bestFit="1" customWidth="1"/>
    <col min="3846" max="3846" width="0" style="3" hidden="1" customWidth="1"/>
    <col min="3847" max="3847" width="18.42578125" style="3" customWidth="1"/>
    <col min="3848" max="3848" width="0" style="3" hidden="1" customWidth="1"/>
    <col min="3849" max="3849" width="9.140625" style="3"/>
    <col min="3850" max="3850" width="0" style="3" hidden="1" customWidth="1"/>
    <col min="3851" max="3854" width="15.140625" style="3" customWidth="1"/>
    <col min="3855" max="3857" width="0" style="3" hidden="1" customWidth="1"/>
    <col min="3858" max="3859" width="10.7109375" style="3" bestFit="1" customWidth="1"/>
    <col min="3860" max="3860" width="10.28515625" style="3" bestFit="1" customWidth="1"/>
    <col min="3861" max="3861" width="11.85546875" style="3" bestFit="1" customWidth="1"/>
    <col min="3862" max="3862" width="15.42578125" style="3" customWidth="1"/>
    <col min="3863" max="4095" width="9.140625" style="3"/>
    <col min="4096" max="4096" width="7" style="3" bestFit="1" customWidth="1"/>
    <col min="4097" max="4097" width="8.42578125" style="3" customWidth="1"/>
    <col min="4098" max="4098" width="5.28515625" style="3" bestFit="1" customWidth="1"/>
    <col min="4099" max="4099" width="58.140625" style="3" customWidth="1"/>
    <col min="4100" max="4100" width="0" style="3" hidden="1" customWidth="1"/>
    <col min="4101" max="4101" width="18.42578125" style="3" bestFit="1" customWidth="1"/>
    <col min="4102" max="4102" width="0" style="3" hidden="1" customWidth="1"/>
    <col min="4103" max="4103" width="18.42578125" style="3" customWidth="1"/>
    <col min="4104" max="4104" width="0" style="3" hidden="1" customWidth="1"/>
    <col min="4105" max="4105" width="9.140625" style="3"/>
    <col min="4106" max="4106" width="0" style="3" hidden="1" customWidth="1"/>
    <col min="4107" max="4110" width="15.140625" style="3" customWidth="1"/>
    <col min="4111" max="4113" width="0" style="3" hidden="1" customWidth="1"/>
    <col min="4114" max="4115" width="10.7109375" style="3" bestFit="1" customWidth="1"/>
    <col min="4116" max="4116" width="10.28515625" style="3" bestFit="1" customWidth="1"/>
    <col min="4117" max="4117" width="11.85546875" style="3" bestFit="1" customWidth="1"/>
    <col min="4118" max="4118" width="15.42578125" style="3" customWidth="1"/>
    <col min="4119" max="4351" width="9.140625" style="3"/>
    <col min="4352" max="4352" width="7" style="3" bestFit="1" customWidth="1"/>
    <col min="4353" max="4353" width="8.42578125" style="3" customWidth="1"/>
    <col min="4354" max="4354" width="5.28515625" style="3" bestFit="1" customWidth="1"/>
    <col min="4355" max="4355" width="58.140625" style="3" customWidth="1"/>
    <col min="4356" max="4356" width="0" style="3" hidden="1" customWidth="1"/>
    <col min="4357" max="4357" width="18.42578125" style="3" bestFit="1" customWidth="1"/>
    <col min="4358" max="4358" width="0" style="3" hidden="1" customWidth="1"/>
    <col min="4359" max="4359" width="18.42578125" style="3" customWidth="1"/>
    <col min="4360" max="4360" width="0" style="3" hidden="1" customWidth="1"/>
    <col min="4361" max="4361" width="9.140625" style="3"/>
    <col min="4362" max="4362" width="0" style="3" hidden="1" customWidth="1"/>
    <col min="4363" max="4366" width="15.140625" style="3" customWidth="1"/>
    <col min="4367" max="4369" width="0" style="3" hidden="1" customWidth="1"/>
    <col min="4370" max="4371" width="10.7109375" style="3" bestFit="1" customWidth="1"/>
    <col min="4372" max="4372" width="10.28515625" style="3" bestFit="1" customWidth="1"/>
    <col min="4373" max="4373" width="11.85546875" style="3" bestFit="1" customWidth="1"/>
    <col min="4374" max="4374" width="15.42578125" style="3" customWidth="1"/>
    <col min="4375" max="4607" width="9.140625" style="3"/>
    <col min="4608" max="4608" width="7" style="3" bestFit="1" customWidth="1"/>
    <col min="4609" max="4609" width="8.42578125" style="3" customWidth="1"/>
    <col min="4610" max="4610" width="5.28515625" style="3" bestFit="1" customWidth="1"/>
    <col min="4611" max="4611" width="58.140625" style="3" customWidth="1"/>
    <col min="4612" max="4612" width="0" style="3" hidden="1" customWidth="1"/>
    <col min="4613" max="4613" width="18.42578125" style="3" bestFit="1" customWidth="1"/>
    <col min="4614" max="4614" width="0" style="3" hidden="1" customWidth="1"/>
    <col min="4615" max="4615" width="18.42578125" style="3" customWidth="1"/>
    <col min="4616" max="4616" width="0" style="3" hidden="1" customWidth="1"/>
    <col min="4617" max="4617" width="9.140625" style="3"/>
    <col min="4618" max="4618" width="0" style="3" hidden="1" customWidth="1"/>
    <col min="4619" max="4622" width="15.140625" style="3" customWidth="1"/>
    <col min="4623" max="4625" width="0" style="3" hidden="1" customWidth="1"/>
    <col min="4626" max="4627" width="10.7109375" style="3" bestFit="1" customWidth="1"/>
    <col min="4628" max="4628" width="10.28515625" style="3" bestFit="1" customWidth="1"/>
    <col min="4629" max="4629" width="11.85546875" style="3" bestFit="1" customWidth="1"/>
    <col min="4630" max="4630" width="15.42578125" style="3" customWidth="1"/>
    <col min="4631" max="4863" width="9.140625" style="3"/>
    <col min="4864" max="4864" width="7" style="3" bestFit="1" customWidth="1"/>
    <col min="4865" max="4865" width="8.42578125" style="3" customWidth="1"/>
    <col min="4866" max="4866" width="5.28515625" style="3" bestFit="1" customWidth="1"/>
    <col min="4867" max="4867" width="58.140625" style="3" customWidth="1"/>
    <col min="4868" max="4868" width="0" style="3" hidden="1" customWidth="1"/>
    <col min="4869" max="4869" width="18.42578125" style="3" bestFit="1" customWidth="1"/>
    <col min="4870" max="4870" width="0" style="3" hidden="1" customWidth="1"/>
    <col min="4871" max="4871" width="18.42578125" style="3" customWidth="1"/>
    <col min="4872" max="4872" width="0" style="3" hidden="1" customWidth="1"/>
    <col min="4873" max="4873" width="9.140625" style="3"/>
    <col min="4874" max="4874" width="0" style="3" hidden="1" customWidth="1"/>
    <col min="4875" max="4878" width="15.140625" style="3" customWidth="1"/>
    <col min="4879" max="4881" width="0" style="3" hidden="1" customWidth="1"/>
    <col min="4882" max="4883" width="10.7109375" style="3" bestFit="1" customWidth="1"/>
    <col min="4884" max="4884" width="10.28515625" style="3" bestFit="1" customWidth="1"/>
    <col min="4885" max="4885" width="11.85546875" style="3" bestFit="1" customWidth="1"/>
    <col min="4886" max="4886" width="15.42578125" style="3" customWidth="1"/>
    <col min="4887" max="5119" width="9.140625" style="3"/>
    <col min="5120" max="5120" width="7" style="3" bestFit="1" customWidth="1"/>
    <col min="5121" max="5121" width="8.42578125" style="3" customWidth="1"/>
    <col min="5122" max="5122" width="5.28515625" style="3" bestFit="1" customWidth="1"/>
    <col min="5123" max="5123" width="58.140625" style="3" customWidth="1"/>
    <col min="5124" max="5124" width="0" style="3" hidden="1" customWidth="1"/>
    <col min="5125" max="5125" width="18.42578125" style="3" bestFit="1" customWidth="1"/>
    <col min="5126" max="5126" width="0" style="3" hidden="1" customWidth="1"/>
    <col min="5127" max="5127" width="18.42578125" style="3" customWidth="1"/>
    <col min="5128" max="5128" width="0" style="3" hidden="1" customWidth="1"/>
    <col min="5129" max="5129" width="9.140625" style="3"/>
    <col min="5130" max="5130" width="0" style="3" hidden="1" customWidth="1"/>
    <col min="5131" max="5134" width="15.140625" style="3" customWidth="1"/>
    <col min="5135" max="5137" width="0" style="3" hidden="1" customWidth="1"/>
    <col min="5138" max="5139" width="10.7109375" style="3" bestFit="1" customWidth="1"/>
    <col min="5140" max="5140" width="10.28515625" style="3" bestFit="1" customWidth="1"/>
    <col min="5141" max="5141" width="11.85546875" style="3" bestFit="1" customWidth="1"/>
    <col min="5142" max="5142" width="15.42578125" style="3" customWidth="1"/>
    <col min="5143" max="5375" width="9.140625" style="3"/>
    <col min="5376" max="5376" width="7" style="3" bestFit="1" customWidth="1"/>
    <col min="5377" max="5377" width="8.42578125" style="3" customWidth="1"/>
    <col min="5378" max="5378" width="5.28515625" style="3" bestFit="1" customWidth="1"/>
    <col min="5379" max="5379" width="58.140625" style="3" customWidth="1"/>
    <col min="5380" max="5380" width="0" style="3" hidden="1" customWidth="1"/>
    <col min="5381" max="5381" width="18.42578125" style="3" bestFit="1" customWidth="1"/>
    <col min="5382" max="5382" width="0" style="3" hidden="1" customWidth="1"/>
    <col min="5383" max="5383" width="18.42578125" style="3" customWidth="1"/>
    <col min="5384" max="5384" width="0" style="3" hidden="1" customWidth="1"/>
    <col min="5385" max="5385" width="9.140625" style="3"/>
    <col min="5386" max="5386" width="0" style="3" hidden="1" customWidth="1"/>
    <col min="5387" max="5390" width="15.140625" style="3" customWidth="1"/>
    <col min="5391" max="5393" width="0" style="3" hidden="1" customWidth="1"/>
    <col min="5394" max="5395" width="10.7109375" style="3" bestFit="1" customWidth="1"/>
    <col min="5396" max="5396" width="10.28515625" style="3" bestFit="1" customWidth="1"/>
    <col min="5397" max="5397" width="11.85546875" style="3" bestFit="1" customWidth="1"/>
    <col min="5398" max="5398" width="15.42578125" style="3" customWidth="1"/>
    <col min="5399" max="5631" width="9.140625" style="3"/>
    <col min="5632" max="5632" width="7" style="3" bestFit="1" customWidth="1"/>
    <col min="5633" max="5633" width="8.42578125" style="3" customWidth="1"/>
    <col min="5634" max="5634" width="5.28515625" style="3" bestFit="1" customWidth="1"/>
    <col min="5635" max="5635" width="58.140625" style="3" customWidth="1"/>
    <col min="5636" max="5636" width="0" style="3" hidden="1" customWidth="1"/>
    <col min="5637" max="5637" width="18.42578125" style="3" bestFit="1" customWidth="1"/>
    <col min="5638" max="5638" width="0" style="3" hidden="1" customWidth="1"/>
    <col min="5639" max="5639" width="18.42578125" style="3" customWidth="1"/>
    <col min="5640" max="5640" width="0" style="3" hidden="1" customWidth="1"/>
    <col min="5641" max="5641" width="9.140625" style="3"/>
    <col min="5642" max="5642" width="0" style="3" hidden="1" customWidth="1"/>
    <col min="5643" max="5646" width="15.140625" style="3" customWidth="1"/>
    <col min="5647" max="5649" width="0" style="3" hidden="1" customWidth="1"/>
    <col min="5650" max="5651" width="10.7109375" style="3" bestFit="1" customWidth="1"/>
    <col min="5652" max="5652" width="10.28515625" style="3" bestFit="1" customWidth="1"/>
    <col min="5653" max="5653" width="11.85546875" style="3" bestFit="1" customWidth="1"/>
    <col min="5654" max="5654" width="15.42578125" style="3" customWidth="1"/>
    <col min="5655" max="5887" width="9.140625" style="3"/>
    <col min="5888" max="5888" width="7" style="3" bestFit="1" customWidth="1"/>
    <col min="5889" max="5889" width="8.42578125" style="3" customWidth="1"/>
    <col min="5890" max="5890" width="5.28515625" style="3" bestFit="1" customWidth="1"/>
    <col min="5891" max="5891" width="58.140625" style="3" customWidth="1"/>
    <col min="5892" max="5892" width="0" style="3" hidden="1" customWidth="1"/>
    <col min="5893" max="5893" width="18.42578125" style="3" bestFit="1" customWidth="1"/>
    <col min="5894" max="5894" width="0" style="3" hidden="1" customWidth="1"/>
    <col min="5895" max="5895" width="18.42578125" style="3" customWidth="1"/>
    <col min="5896" max="5896" width="0" style="3" hidden="1" customWidth="1"/>
    <col min="5897" max="5897" width="9.140625" style="3"/>
    <col min="5898" max="5898" width="0" style="3" hidden="1" customWidth="1"/>
    <col min="5899" max="5902" width="15.140625" style="3" customWidth="1"/>
    <col min="5903" max="5905" width="0" style="3" hidden="1" customWidth="1"/>
    <col min="5906" max="5907" width="10.7109375" style="3" bestFit="1" customWidth="1"/>
    <col min="5908" max="5908" width="10.28515625" style="3" bestFit="1" customWidth="1"/>
    <col min="5909" max="5909" width="11.85546875" style="3" bestFit="1" customWidth="1"/>
    <col min="5910" max="5910" width="15.42578125" style="3" customWidth="1"/>
    <col min="5911" max="6143" width="9.140625" style="3"/>
    <col min="6144" max="6144" width="7" style="3" bestFit="1" customWidth="1"/>
    <col min="6145" max="6145" width="8.42578125" style="3" customWidth="1"/>
    <col min="6146" max="6146" width="5.28515625" style="3" bestFit="1" customWidth="1"/>
    <col min="6147" max="6147" width="58.140625" style="3" customWidth="1"/>
    <col min="6148" max="6148" width="0" style="3" hidden="1" customWidth="1"/>
    <col min="6149" max="6149" width="18.42578125" style="3" bestFit="1" customWidth="1"/>
    <col min="6150" max="6150" width="0" style="3" hidden="1" customWidth="1"/>
    <col min="6151" max="6151" width="18.42578125" style="3" customWidth="1"/>
    <col min="6152" max="6152" width="0" style="3" hidden="1" customWidth="1"/>
    <col min="6153" max="6153" width="9.140625" style="3"/>
    <col min="6154" max="6154" width="0" style="3" hidden="1" customWidth="1"/>
    <col min="6155" max="6158" width="15.140625" style="3" customWidth="1"/>
    <col min="6159" max="6161" width="0" style="3" hidden="1" customWidth="1"/>
    <col min="6162" max="6163" width="10.7109375" style="3" bestFit="1" customWidth="1"/>
    <col min="6164" max="6164" width="10.28515625" style="3" bestFit="1" customWidth="1"/>
    <col min="6165" max="6165" width="11.85546875" style="3" bestFit="1" customWidth="1"/>
    <col min="6166" max="6166" width="15.42578125" style="3" customWidth="1"/>
    <col min="6167" max="6399" width="9.140625" style="3"/>
    <col min="6400" max="6400" width="7" style="3" bestFit="1" customWidth="1"/>
    <col min="6401" max="6401" width="8.42578125" style="3" customWidth="1"/>
    <col min="6402" max="6402" width="5.28515625" style="3" bestFit="1" customWidth="1"/>
    <col min="6403" max="6403" width="58.140625" style="3" customWidth="1"/>
    <col min="6404" max="6404" width="0" style="3" hidden="1" customWidth="1"/>
    <col min="6405" max="6405" width="18.42578125" style="3" bestFit="1" customWidth="1"/>
    <col min="6406" max="6406" width="0" style="3" hidden="1" customWidth="1"/>
    <col min="6407" max="6407" width="18.42578125" style="3" customWidth="1"/>
    <col min="6408" max="6408" width="0" style="3" hidden="1" customWidth="1"/>
    <col min="6409" max="6409" width="9.140625" style="3"/>
    <col min="6410" max="6410" width="0" style="3" hidden="1" customWidth="1"/>
    <col min="6411" max="6414" width="15.140625" style="3" customWidth="1"/>
    <col min="6415" max="6417" width="0" style="3" hidden="1" customWidth="1"/>
    <col min="6418" max="6419" width="10.7109375" style="3" bestFit="1" customWidth="1"/>
    <col min="6420" max="6420" width="10.28515625" style="3" bestFit="1" customWidth="1"/>
    <col min="6421" max="6421" width="11.85546875" style="3" bestFit="1" customWidth="1"/>
    <col min="6422" max="6422" width="15.42578125" style="3" customWidth="1"/>
    <col min="6423" max="6655" width="9.140625" style="3"/>
    <col min="6656" max="6656" width="7" style="3" bestFit="1" customWidth="1"/>
    <col min="6657" max="6657" width="8.42578125" style="3" customWidth="1"/>
    <col min="6658" max="6658" width="5.28515625" style="3" bestFit="1" customWidth="1"/>
    <col min="6659" max="6659" width="58.140625" style="3" customWidth="1"/>
    <col min="6660" max="6660" width="0" style="3" hidden="1" customWidth="1"/>
    <col min="6661" max="6661" width="18.42578125" style="3" bestFit="1" customWidth="1"/>
    <col min="6662" max="6662" width="0" style="3" hidden="1" customWidth="1"/>
    <col min="6663" max="6663" width="18.42578125" style="3" customWidth="1"/>
    <col min="6664" max="6664" width="0" style="3" hidden="1" customWidth="1"/>
    <col min="6665" max="6665" width="9.140625" style="3"/>
    <col min="6666" max="6666" width="0" style="3" hidden="1" customWidth="1"/>
    <col min="6667" max="6670" width="15.140625" style="3" customWidth="1"/>
    <col min="6671" max="6673" width="0" style="3" hidden="1" customWidth="1"/>
    <col min="6674" max="6675" width="10.7109375" style="3" bestFit="1" customWidth="1"/>
    <col min="6676" max="6676" width="10.28515625" style="3" bestFit="1" customWidth="1"/>
    <col min="6677" max="6677" width="11.85546875" style="3" bestFit="1" customWidth="1"/>
    <col min="6678" max="6678" width="15.42578125" style="3" customWidth="1"/>
    <col min="6679" max="6911" width="9.140625" style="3"/>
    <col min="6912" max="6912" width="7" style="3" bestFit="1" customWidth="1"/>
    <col min="6913" max="6913" width="8.42578125" style="3" customWidth="1"/>
    <col min="6914" max="6914" width="5.28515625" style="3" bestFit="1" customWidth="1"/>
    <col min="6915" max="6915" width="58.140625" style="3" customWidth="1"/>
    <col min="6916" max="6916" width="0" style="3" hidden="1" customWidth="1"/>
    <col min="6917" max="6917" width="18.42578125" style="3" bestFit="1" customWidth="1"/>
    <col min="6918" max="6918" width="0" style="3" hidden="1" customWidth="1"/>
    <col min="6919" max="6919" width="18.42578125" style="3" customWidth="1"/>
    <col min="6920" max="6920" width="0" style="3" hidden="1" customWidth="1"/>
    <col min="6921" max="6921" width="9.140625" style="3"/>
    <col min="6922" max="6922" width="0" style="3" hidden="1" customWidth="1"/>
    <col min="6923" max="6926" width="15.140625" style="3" customWidth="1"/>
    <col min="6927" max="6929" width="0" style="3" hidden="1" customWidth="1"/>
    <col min="6930" max="6931" width="10.7109375" style="3" bestFit="1" customWidth="1"/>
    <col min="6932" max="6932" width="10.28515625" style="3" bestFit="1" customWidth="1"/>
    <col min="6933" max="6933" width="11.85546875" style="3" bestFit="1" customWidth="1"/>
    <col min="6934" max="6934" width="15.42578125" style="3" customWidth="1"/>
    <col min="6935" max="7167" width="9.140625" style="3"/>
    <col min="7168" max="7168" width="7" style="3" bestFit="1" customWidth="1"/>
    <col min="7169" max="7169" width="8.42578125" style="3" customWidth="1"/>
    <col min="7170" max="7170" width="5.28515625" style="3" bestFit="1" customWidth="1"/>
    <col min="7171" max="7171" width="58.140625" style="3" customWidth="1"/>
    <col min="7172" max="7172" width="0" style="3" hidden="1" customWidth="1"/>
    <col min="7173" max="7173" width="18.42578125" style="3" bestFit="1" customWidth="1"/>
    <col min="7174" max="7174" width="0" style="3" hidden="1" customWidth="1"/>
    <col min="7175" max="7175" width="18.42578125" style="3" customWidth="1"/>
    <col min="7176" max="7176" width="0" style="3" hidden="1" customWidth="1"/>
    <col min="7177" max="7177" width="9.140625" style="3"/>
    <col min="7178" max="7178" width="0" style="3" hidden="1" customWidth="1"/>
    <col min="7179" max="7182" width="15.140625" style="3" customWidth="1"/>
    <col min="7183" max="7185" width="0" style="3" hidden="1" customWidth="1"/>
    <col min="7186" max="7187" width="10.7109375" style="3" bestFit="1" customWidth="1"/>
    <col min="7188" max="7188" width="10.28515625" style="3" bestFit="1" customWidth="1"/>
    <col min="7189" max="7189" width="11.85546875" style="3" bestFit="1" customWidth="1"/>
    <col min="7190" max="7190" width="15.42578125" style="3" customWidth="1"/>
    <col min="7191" max="7423" width="9.140625" style="3"/>
    <col min="7424" max="7424" width="7" style="3" bestFit="1" customWidth="1"/>
    <col min="7425" max="7425" width="8.42578125" style="3" customWidth="1"/>
    <col min="7426" max="7426" width="5.28515625" style="3" bestFit="1" customWidth="1"/>
    <col min="7427" max="7427" width="58.140625" style="3" customWidth="1"/>
    <col min="7428" max="7428" width="0" style="3" hidden="1" customWidth="1"/>
    <col min="7429" max="7429" width="18.42578125" style="3" bestFit="1" customWidth="1"/>
    <col min="7430" max="7430" width="0" style="3" hidden="1" customWidth="1"/>
    <col min="7431" max="7431" width="18.42578125" style="3" customWidth="1"/>
    <col min="7432" max="7432" width="0" style="3" hidden="1" customWidth="1"/>
    <col min="7433" max="7433" width="9.140625" style="3"/>
    <col min="7434" max="7434" width="0" style="3" hidden="1" customWidth="1"/>
    <col min="7435" max="7438" width="15.140625" style="3" customWidth="1"/>
    <col min="7439" max="7441" width="0" style="3" hidden="1" customWidth="1"/>
    <col min="7442" max="7443" width="10.7109375" style="3" bestFit="1" customWidth="1"/>
    <col min="7444" max="7444" width="10.28515625" style="3" bestFit="1" customWidth="1"/>
    <col min="7445" max="7445" width="11.85546875" style="3" bestFit="1" customWidth="1"/>
    <col min="7446" max="7446" width="15.42578125" style="3" customWidth="1"/>
    <col min="7447" max="7679" width="9.140625" style="3"/>
    <col min="7680" max="7680" width="7" style="3" bestFit="1" customWidth="1"/>
    <col min="7681" max="7681" width="8.42578125" style="3" customWidth="1"/>
    <col min="7682" max="7682" width="5.28515625" style="3" bestFit="1" customWidth="1"/>
    <col min="7683" max="7683" width="58.140625" style="3" customWidth="1"/>
    <col min="7684" max="7684" width="0" style="3" hidden="1" customWidth="1"/>
    <col min="7685" max="7685" width="18.42578125" style="3" bestFit="1" customWidth="1"/>
    <col min="7686" max="7686" width="0" style="3" hidden="1" customWidth="1"/>
    <col min="7687" max="7687" width="18.42578125" style="3" customWidth="1"/>
    <col min="7688" max="7688" width="0" style="3" hidden="1" customWidth="1"/>
    <col min="7689" max="7689" width="9.140625" style="3"/>
    <col min="7690" max="7690" width="0" style="3" hidden="1" customWidth="1"/>
    <col min="7691" max="7694" width="15.140625" style="3" customWidth="1"/>
    <col min="7695" max="7697" width="0" style="3" hidden="1" customWidth="1"/>
    <col min="7698" max="7699" width="10.7109375" style="3" bestFit="1" customWidth="1"/>
    <col min="7700" max="7700" width="10.28515625" style="3" bestFit="1" customWidth="1"/>
    <col min="7701" max="7701" width="11.85546875" style="3" bestFit="1" customWidth="1"/>
    <col min="7702" max="7702" width="15.42578125" style="3" customWidth="1"/>
    <col min="7703" max="7935" width="9.140625" style="3"/>
    <col min="7936" max="7936" width="7" style="3" bestFit="1" customWidth="1"/>
    <col min="7937" max="7937" width="8.42578125" style="3" customWidth="1"/>
    <col min="7938" max="7938" width="5.28515625" style="3" bestFit="1" customWidth="1"/>
    <col min="7939" max="7939" width="58.140625" style="3" customWidth="1"/>
    <col min="7940" max="7940" width="0" style="3" hidden="1" customWidth="1"/>
    <col min="7941" max="7941" width="18.42578125" style="3" bestFit="1" customWidth="1"/>
    <col min="7942" max="7942" width="0" style="3" hidden="1" customWidth="1"/>
    <col min="7943" max="7943" width="18.42578125" style="3" customWidth="1"/>
    <col min="7944" max="7944" width="0" style="3" hidden="1" customWidth="1"/>
    <col min="7945" max="7945" width="9.140625" style="3"/>
    <col min="7946" max="7946" width="0" style="3" hidden="1" customWidth="1"/>
    <col min="7947" max="7950" width="15.140625" style="3" customWidth="1"/>
    <col min="7951" max="7953" width="0" style="3" hidden="1" customWidth="1"/>
    <col min="7954" max="7955" width="10.7109375" style="3" bestFit="1" customWidth="1"/>
    <col min="7956" max="7956" width="10.28515625" style="3" bestFit="1" customWidth="1"/>
    <col min="7957" max="7957" width="11.85546875" style="3" bestFit="1" customWidth="1"/>
    <col min="7958" max="7958" width="15.42578125" style="3" customWidth="1"/>
    <col min="7959" max="8191" width="9.140625" style="3"/>
    <col min="8192" max="8192" width="7" style="3" bestFit="1" customWidth="1"/>
    <col min="8193" max="8193" width="8.42578125" style="3" customWidth="1"/>
    <col min="8194" max="8194" width="5.28515625" style="3" bestFit="1" customWidth="1"/>
    <col min="8195" max="8195" width="58.140625" style="3" customWidth="1"/>
    <col min="8196" max="8196" width="0" style="3" hidden="1" customWidth="1"/>
    <col min="8197" max="8197" width="18.42578125" style="3" bestFit="1" customWidth="1"/>
    <col min="8198" max="8198" width="0" style="3" hidden="1" customWidth="1"/>
    <col min="8199" max="8199" width="18.42578125" style="3" customWidth="1"/>
    <col min="8200" max="8200" width="0" style="3" hidden="1" customWidth="1"/>
    <col min="8201" max="8201" width="9.140625" style="3"/>
    <col min="8202" max="8202" width="0" style="3" hidden="1" customWidth="1"/>
    <col min="8203" max="8206" width="15.140625" style="3" customWidth="1"/>
    <col min="8207" max="8209" width="0" style="3" hidden="1" customWidth="1"/>
    <col min="8210" max="8211" width="10.7109375" style="3" bestFit="1" customWidth="1"/>
    <col min="8212" max="8212" width="10.28515625" style="3" bestFit="1" customWidth="1"/>
    <col min="8213" max="8213" width="11.85546875" style="3" bestFit="1" customWidth="1"/>
    <col min="8214" max="8214" width="15.42578125" style="3" customWidth="1"/>
    <col min="8215" max="8447" width="9.140625" style="3"/>
    <col min="8448" max="8448" width="7" style="3" bestFit="1" customWidth="1"/>
    <col min="8449" max="8449" width="8.42578125" style="3" customWidth="1"/>
    <col min="8450" max="8450" width="5.28515625" style="3" bestFit="1" customWidth="1"/>
    <col min="8451" max="8451" width="58.140625" style="3" customWidth="1"/>
    <col min="8452" max="8452" width="0" style="3" hidden="1" customWidth="1"/>
    <col min="8453" max="8453" width="18.42578125" style="3" bestFit="1" customWidth="1"/>
    <col min="8454" max="8454" width="0" style="3" hidden="1" customWidth="1"/>
    <col min="8455" max="8455" width="18.42578125" style="3" customWidth="1"/>
    <col min="8456" max="8456" width="0" style="3" hidden="1" customWidth="1"/>
    <col min="8457" max="8457" width="9.140625" style="3"/>
    <col min="8458" max="8458" width="0" style="3" hidden="1" customWidth="1"/>
    <col min="8459" max="8462" width="15.140625" style="3" customWidth="1"/>
    <col min="8463" max="8465" width="0" style="3" hidden="1" customWidth="1"/>
    <col min="8466" max="8467" width="10.7109375" style="3" bestFit="1" customWidth="1"/>
    <col min="8468" max="8468" width="10.28515625" style="3" bestFit="1" customWidth="1"/>
    <col min="8469" max="8469" width="11.85546875" style="3" bestFit="1" customWidth="1"/>
    <col min="8470" max="8470" width="15.42578125" style="3" customWidth="1"/>
    <col min="8471" max="8703" width="9.140625" style="3"/>
    <col min="8704" max="8704" width="7" style="3" bestFit="1" customWidth="1"/>
    <col min="8705" max="8705" width="8.42578125" style="3" customWidth="1"/>
    <col min="8706" max="8706" width="5.28515625" style="3" bestFit="1" customWidth="1"/>
    <col min="8707" max="8707" width="58.140625" style="3" customWidth="1"/>
    <col min="8708" max="8708" width="0" style="3" hidden="1" customWidth="1"/>
    <col min="8709" max="8709" width="18.42578125" style="3" bestFit="1" customWidth="1"/>
    <col min="8710" max="8710" width="0" style="3" hidden="1" customWidth="1"/>
    <col min="8711" max="8711" width="18.42578125" style="3" customWidth="1"/>
    <col min="8712" max="8712" width="0" style="3" hidden="1" customWidth="1"/>
    <col min="8713" max="8713" width="9.140625" style="3"/>
    <col min="8714" max="8714" width="0" style="3" hidden="1" customWidth="1"/>
    <col min="8715" max="8718" width="15.140625" style="3" customWidth="1"/>
    <col min="8719" max="8721" width="0" style="3" hidden="1" customWidth="1"/>
    <col min="8722" max="8723" width="10.7109375" style="3" bestFit="1" customWidth="1"/>
    <col min="8724" max="8724" width="10.28515625" style="3" bestFit="1" customWidth="1"/>
    <col min="8725" max="8725" width="11.85546875" style="3" bestFit="1" customWidth="1"/>
    <col min="8726" max="8726" width="15.42578125" style="3" customWidth="1"/>
    <col min="8727" max="8959" width="9.140625" style="3"/>
    <col min="8960" max="8960" width="7" style="3" bestFit="1" customWidth="1"/>
    <col min="8961" max="8961" width="8.42578125" style="3" customWidth="1"/>
    <col min="8962" max="8962" width="5.28515625" style="3" bestFit="1" customWidth="1"/>
    <col min="8963" max="8963" width="58.140625" style="3" customWidth="1"/>
    <col min="8964" max="8964" width="0" style="3" hidden="1" customWidth="1"/>
    <col min="8965" max="8965" width="18.42578125" style="3" bestFit="1" customWidth="1"/>
    <col min="8966" max="8966" width="0" style="3" hidden="1" customWidth="1"/>
    <col min="8967" max="8967" width="18.42578125" style="3" customWidth="1"/>
    <col min="8968" max="8968" width="0" style="3" hidden="1" customWidth="1"/>
    <col min="8969" max="8969" width="9.140625" style="3"/>
    <col min="8970" max="8970" width="0" style="3" hidden="1" customWidth="1"/>
    <col min="8971" max="8974" width="15.140625" style="3" customWidth="1"/>
    <col min="8975" max="8977" width="0" style="3" hidden="1" customWidth="1"/>
    <col min="8978" max="8979" width="10.7109375" style="3" bestFit="1" customWidth="1"/>
    <col min="8980" max="8980" width="10.28515625" style="3" bestFit="1" customWidth="1"/>
    <col min="8981" max="8981" width="11.85546875" style="3" bestFit="1" customWidth="1"/>
    <col min="8982" max="8982" width="15.42578125" style="3" customWidth="1"/>
    <col min="8983" max="9215" width="9.140625" style="3"/>
    <col min="9216" max="9216" width="7" style="3" bestFit="1" customWidth="1"/>
    <col min="9217" max="9217" width="8.42578125" style="3" customWidth="1"/>
    <col min="9218" max="9218" width="5.28515625" style="3" bestFit="1" customWidth="1"/>
    <col min="9219" max="9219" width="58.140625" style="3" customWidth="1"/>
    <col min="9220" max="9220" width="0" style="3" hidden="1" customWidth="1"/>
    <col min="9221" max="9221" width="18.42578125" style="3" bestFit="1" customWidth="1"/>
    <col min="9222" max="9222" width="0" style="3" hidden="1" customWidth="1"/>
    <col min="9223" max="9223" width="18.42578125" style="3" customWidth="1"/>
    <col min="9224" max="9224" width="0" style="3" hidden="1" customWidth="1"/>
    <col min="9225" max="9225" width="9.140625" style="3"/>
    <col min="9226" max="9226" width="0" style="3" hidden="1" customWidth="1"/>
    <col min="9227" max="9230" width="15.140625" style="3" customWidth="1"/>
    <col min="9231" max="9233" width="0" style="3" hidden="1" customWidth="1"/>
    <col min="9234" max="9235" width="10.7109375" style="3" bestFit="1" customWidth="1"/>
    <col min="9236" max="9236" width="10.28515625" style="3" bestFit="1" customWidth="1"/>
    <col min="9237" max="9237" width="11.85546875" style="3" bestFit="1" customWidth="1"/>
    <col min="9238" max="9238" width="15.42578125" style="3" customWidth="1"/>
    <col min="9239" max="9471" width="9.140625" style="3"/>
    <col min="9472" max="9472" width="7" style="3" bestFit="1" customWidth="1"/>
    <col min="9473" max="9473" width="8.42578125" style="3" customWidth="1"/>
    <col min="9474" max="9474" width="5.28515625" style="3" bestFit="1" customWidth="1"/>
    <col min="9475" max="9475" width="58.140625" style="3" customWidth="1"/>
    <col min="9476" max="9476" width="0" style="3" hidden="1" customWidth="1"/>
    <col min="9477" max="9477" width="18.42578125" style="3" bestFit="1" customWidth="1"/>
    <col min="9478" max="9478" width="0" style="3" hidden="1" customWidth="1"/>
    <col min="9479" max="9479" width="18.42578125" style="3" customWidth="1"/>
    <col min="9480" max="9480" width="0" style="3" hidden="1" customWidth="1"/>
    <col min="9481" max="9481" width="9.140625" style="3"/>
    <col min="9482" max="9482" width="0" style="3" hidden="1" customWidth="1"/>
    <col min="9483" max="9486" width="15.140625" style="3" customWidth="1"/>
    <col min="9487" max="9489" width="0" style="3" hidden="1" customWidth="1"/>
    <col min="9490" max="9491" width="10.7109375" style="3" bestFit="1" customWidth="1"/>
    <col min="9492" max="9492" width="10.28515625" style="3" bestFit="1" customWidth="1"/>
    <col min="9493" max="9493" width="11.85546875" style="3" bestFit="1" customWidth="1"/>
    <col min="9494" max="9494" width="15.42578125" style="3" customWidth="1"/>
    <col min="9495" max="9727" width="9.140625" style="3"/>
    <col min="9728" max="9728" width="7" style="3" bestFit="1" customWidth="1"/>
    <col min="9729" max="9729" width="8.42578125" style="3" customWidth="1"/>
    <col min="9730" max="9730" width="5.28515625" style="3" bestFit="1" customWidth="1"/>
    <col min="9731" max="9731" width="58.140625" style="3" customWidth="1"/>
    <col min="9732" max="9732" width="0" style="3" hidden="1" customWidth="1"/>
    <col min="9733" max="9733" width="18.42578125" style="3" bestFit="1" customWidth="1"/>
    <col min="9734" max="9734" width="0" style="3" hidden="1" customWidth="1"/>
    <col min="9735" max="9735" width="18.42578125" style="3" customWidth="1"/>
    <col min="9736" max="9736" width="0" style="3" hidden="1" customWidth="1"/>
    <col min="9737" max="9737" width="9.140625" style="3"/>
    <col min="9738" max="9738" width="0" style="3" hidden="1" customWidth="1"/>
    <col min="9739" max="9742" width="15.140625" style="3" customWidth="1"/>
    <col min="9743" max="9745" width="0" style="3" hidden="1" customWidth="1"/>
    <col min="9746" max="9747" width="10.7109375" style="3" bestFit="1" customWidth="1"/>
    <col min="9748" max="9748" width="10.28515625" style="3" bestFit="1" customWidth="1"/>
    <col min="9749" max="9749" width="11.85546875" style="3" bestFit="1" customWidth="1"/>
    <col min="9750" max="9750" width="15.42578125" style="3" customWidth="1"/>
    <col min="9751" max="9983" width="9.140625" style="3"/>
    <col min="9984" max="9984" width="7" style="3" bestFit="1" customWidth="1"/>
    <col min="9985" max="9985" width="8.42578125" style="3" customWidth="1"/>
    <col min="9986" max="9986" width="5.28515625" style="3" bestFit="1" customWidth="1"/>
    <col min="9987" max="9987" width="58.140625" style="3" customWidth="1"/>
    <col min="9988" max="9988" width="0" style="3" hidden="1" customWidth="1"/>
    <col min="9989" max="9989" width="18.42578125" style="3" bestFit="1" customWidth="1"/>
    <col min="9990" max="9990" width="0" style="3" hidden="1" customWidth="1"/>
    <col min="9991" max="9991" width="18.42578125" style="3" customWidth="1"/>
    <col min="9992" max="9992" width="0" style="3" hidden="1" customWidth="1"/>
    <col min="9993" max="9993" width="9.140625" style="3"/>
    <col min="9994" max="9994" width="0" style="3" hidden="1" customWidth="1"/>
    <col min="9995" max="9998" width="15.140625" style="3" customWidth="1"/>
    <col min="9999" max="10001" width="0" style="3" hidden="1" customWidth="1"/>
    <col min="10002" max="10003" width="10.7109375" style="3" bestFit="1" customWidth="1"/>
    <col min="10004" max="10004" width="10.28515625" style="3" bestFit="1" customWidth="1"/>
    <col min="10005" max="10005" width="11.85546875" style="3" bestFit="1" customWidth="1"/>
    <col min="10006" max="10006" width="15.42578125" style="3" customWidth="1"/>
    <col min="10007" max="10239" width="9.140625" style="3"/>
    <col min="10240" max="10240" width="7" style="3" bestFit="1" customWidth="1"/>
    <col min="10241" max="10241" width="8.42578125" style="3" customWidth="1"/>
    <col min="10242" max="10242" width="5.28515625" style="3" bestFit="1" customWidth="1"/>
    <col min="10243" max="10243" width="58.140625" style="3" customWidth="1"/>
    <col min="10244" max="10244" width="0" style="3" hidden="1" customWidth="1"/>
    <col min="10245" max="10245" width="18.42578125" style="3" bestFit="1" customWidth="1"/>
    <col min="10246" max="10246" width="0" style="3" hidden="1" customWidth="1"/>
    <col min="10247" max="10247" width="18.42578125" style="3" customWidth="1"/>
    <col min="10248" max="10248" width="0" style="3" hidden="1" customWidth="1"/>
    <col min="10249" max="10249" width="9.140625" style="3"/>
    <col min="10250" max="10250" width="0" style="3" hidden="1" customWidth="1"/>
    <col min="10251" max="10254" width="15.140625" style="3" customWidth="1"/>
    <col min="10255" max="10257" width="0" style="3" hidden="1" customWidth="1"/>
    <col min="10258" max="10259" width="10.7109375" style="3" bestFit="1" customWidth="1"/>
    <col min="10260" max="10260" width="10.28515625" style="3" bestFit="1" customWidth="1"/>
    <col min="10261" max="10261" width="11.85546875" style="3" bestFit="1" customWidth="1"/>
    <col min="10262" max="10262" width="15.42578125" style="3" customWidth="1"/>
    <col min="10263" max="10495" width="9.140625" style="3"/>
    <col min="10496" max="10496" width="7" style="3" bestFit="1" customWidth="1"/>
    <col min="10497" max="10497" width="8.42578125" style="3" customWidth="1"/>
    <col min="10498" max="10498" width="5.28515625" style="3" bestFit="1" customWidth="1"/>
    <col min="10499" max="10499" width="58.140625" style="3" customWidth="1"/>
    <col min="10500" max="10500" width="0" style="3" hidden="1" customWidth="1"/>
    <col min="10501" max="10501" width="18.42578125" style="3" bestFit="1" customWidth="1"/>
    <col min="10502" max="10502" width="0" style="3" hidden="1" customWidth="1"/>
    <col min="10503" max="10503" width="18.42578125" style="3" customWidth="1"/>
    <col min="10504" max="10504" width="0" style="3" hidden="1" customWidth="1"/>
    <col min="10505" max="10505" width="9.140625" style="3"/>
    <col min="10506" max="10506" width="0" style="3" hidden="1" customWidth="1"/>
    <col min="10507" max="10510" width="15.140625" style="3" customWidth="1"/>
    <col min="10511" max="10513" width="0" style="3" hidden="1" customWidth="1"/>
    <col min="10514" max="10515" width="10.7109375" style="3" bestFit="1" customWidth="1"/>
    <col min="10516" max="10516" width="10.28515625" style="3" bestFit="1" customWidth="1"/>
    <col min="10517" max="10517" width="11.85546875" style="3" bestFit="1" customWidth="1"/>
    <col min="10518" max="10518" width="15.42578125" style="3" customWidth="1"/>
    <col min="10519" max="10751" width="9.140625" style="3"/>
    <col min="10752" max="10752" width="7" style="3" bestFit="1" customWidth="1"/>
    <col min="10753" max="10753" width="8.42578125" style="3" customWidth="1"/>
    <col min="10754" max="10754" width="5.28515625" style="3" bestFit="1" customWidth="1"/>
    <col min="10755" max="10755" width="58.140625" style="3" customWidth="1"/>
    <col min="10756" max="10756" width="0" style="3" hidden="1" customWidth="1"/>
    <col min="10757" max="10757" width="18.42578125" style="3" bestFit="1" customWidth="1"/>
    <col min="10758" max="10758" width="0" style="3" hidden="1" customWidth="1"/>
    <col min="10759" max="10759" width="18.42578125" style="3" customWidth="1"/>
    <col min="10760" max="10760" width="0" style="3" hidden="1" customWidth="1"/>
    <col min="10761" max="10761" width="9.140625" style="3"/>
    <col min="10762" max="10762" width="0" style="3" hidden="1" customWidth="1"/>
    <col min="10763" max="10766" width="15.140625" style="3" customWidth="1"/>
    <col min="10767" max="10769" width="0" style="3" hidden="1" customWidth="1"/>
    <col min="10770" max="10771" width="10.7109375" style="3" bestFit="1" customWidth="1"/>
    <col min="10772" max="10772" width="10.28515625" style="3" bestFit="1" customWidth="1"/>
    <col min="10773" max="10773" width="11.85546875" style="3" bestFit="1" customWidth="1"/>
    <col min="10774" max="10774" width="15.42578125" style="3" customWidth="1"/>
    <col min="10775" max="11007" width="9.140625" style="3"/>
    <col min="11008" max="11008" width="7" style="3" bestFit="1" customWidth="1"/>
    <col min="11009" max="11009" width="8.42578125" style="3" customWidth="1"/>
    <col min="11010" max="11010" width="5.28515625" style="3" bestFit="1" customWidth="1"/>
    <col min="11011" max="11011" width="58.140625" style="3" customWidth="1"/>
    <col min="11012" max="11012" width="0" style="3" hidden="1" customWidth="1"/>
    <col min="11013" max="11013" width="18.42578125" style="3" bestFit="1" customWidth="1"/>
    <col min="11014" max="11014" width="0" style="3" hidden="1" customWidth="1"/>
    <col min="11015" max="11015" width="18.42578125" style="3" customWidth="1"/>
    <col min="11016" max="11016" width="0" style="3" hidden="1" customWidth="1"/>
    <col min="11017" max="11017" width="9.140625" style="3"/>
    <col min="11018" max="11018" width="0" style="3" hidden="1" customWidth="1"/>
    <col min="11019" max="11022" width="15.140625" style="3" customWidth="1"/>
    <col min="11023" max="11025" width="0" style="3" hidden="1" customWidth="1"/>
    <col min="11026" max="11027" width="10.7109375" style="3" bestFit="1" customWidth="1"/>
    <col min="11028" max="11028" width="10.28515625" style="3" bestFit="1" customWidth="1"/>
    <col min="11029" max="11029" width="11.85546875" style="3" bestFit="1" customWidth="1"/>
    <col min="11030" max="11030" width="15.42578125" style="3" customWidth="1"/>
    <col min="11031" max="11263" width="9.140625" style="3"/>
    <col min="11264" max="11264" width="7" style="3" bestFit="1" customWidth="1"/>
    <col min="11265" max="11265" width="8.42578125" style="3" customWidth="1"/>
    <col min="11266" max="11266" width="5.28515625" style="3" bestFit="1" customWidth="1"/>
    <col min="11267" max="11267" width="58.140625" style="3" customWidth="1"/>
    <col min="11268" max="11268" width="0" style="3" hidden="1" customWidth="1"/>
    <col min="11269" max="11269" width="18.42578125" style="3" bestFit="1" customWidth="1"/>
    <col min="11270" max="11270" width="0" style="3" hidden="1" customWidth="1"/>
    <col min="11271" max="11271" width="18.42578125" style="3" customWidth="1"/>
    <col min="11272" max="11272" width="0" style="3" hidden="1" customWidth="1"/>
    <col min="11273" max="11273" width="9.140625" style="3"/>
    <col min="11274" max="11274" width="0" style="3" hidden="1" customWidth="1"/>
    <col min="11275" max="11278" width="15.140625" style="3" customWidth="1"/>
    <col min="11279" max="11281" width="0" style="3" hidden="1" customWidth="1"/>
    <col min="11282" max="11283" width="10.7109375" style="3" bestFit="1" customWidth="1"/>
    <col min="11284" max="11284" width="10.28515625" style="3" bestFit="1" customWidth="1"/>
    <col min="11285" max="11285" width="11.85546875" style="3" bestFit="1" customWidth="1"/>
    <col min="11286" max="11286" width="15.42578125" style="3" customWidth="1"/>
    <col min="11287" max="11519" width="9.140625" style="3"/>
    <col min="11520" max="11520" width="7" style="3" bestFit="1" customWidth="1"/>
    <col min="11521" max="11521" width="8.42578125" style="3" customWidth="1"/>
    <col min="11522" max="11522" width="5.28515625" style="3" bestFit="1" customWidth="1"/>
    <col min="11523" max="11523" width="58.140625" style="3" customWidth="1"/>
    <col min="11524" max="11524" width="0" style="3" hidden="1" customWidth="1"/>
    <col min="11525" max="11525" width="18.42578125" style="3" bestFit="1" customWidth="1"/>
    <col min="11526" max="11526" width="0" style="3" hidden="1" customWidth="1"/>
    <col min="11527" max="11527" width="18.42578125" style="3" customWidth="1"/>
    <col min="11528" max="11528" width="0" style="3" hidden="1" customWidth="1"/>
    <col min="11529" max="11529" width="9.140625" style="3"/>
    <col min="11530" max="11530" width="0" style="3" hidden="1" customWidth="1"/>
    <col min="11531" max="11534" width="15.140625" style="3" customWidth="1"/>
    <col min="11535" max="11537" width="0" style="3" hidden="1" customWidth="1"/>
    <col min="11538" max="11539" width="10.7109375" style="3" bestFit="1" customWidth="1"/>
    <col min="11540" max="11540" width="10.28515625" style="3" bestFit="1" customWidth="1"/>
    <col min="11541" max="11541" width="11.85546875" style="3" bestFit="1" customWidth="1"/>
    <col min="11542" max="11542" width="15.42578125" style="3" customWidth="1"/>
    <col min="11543" max="11775" width="9.140625" style="3"/>
    <col min="11776" max="11776" width="7" style="3" bestFit="1" customWidth="1"/>
    <col min="11777" max="11777" width="8.42578125" style="3" customWidth="1"/>
    <col min="11778" max="11778" width="5.28515625" style="3" bestFit="1" customWidth="1"/>
    <col min="11779" max="11779" width="58.140625" style="3" customWidth="1"/>
    <col min="11780" max="11780" width="0" style="3" hidden="1" customWidth="1"/>
    <col min="11781" max="11781" width="18.42578125" style="3" bestFit="1" customWidth="1"/>
    <col min="11782" max="11782" width="0" style="3" hidden="1" customWidth="1"/>
    <col min="11783" max="11783" width="18.42578125" style="3" customWidth="1"/>
    <col min="11784" max="11784" width="0" style="3" hidden="1" customWidth="1"/>
    <col min="11785" max="11785" width="9.140625" style="3"/>
    <col min="11786" max="11786" width="0" style="3" hidden="1" customWidth="1"/>
    <col min="11787" max="11790" width="15.140625" style="3" customWidth="1"/>
    <col min="11791" max="11793" width="0" style="3" hidden="1" customWidth="1"/>
    <col min="11794" max="11795" width="10.7109375" style="3" bestFit="1" customWidth="1"/>
    <col min="11796" max="11796" width="10.28515625" style="3" bestFit="1" customWidth="1"/>
    <col min="11797" max="11797" width="11.85546875" style="3" bestFit="1" customWidth="1"/>
    <col min="11798" max="11798" width="15.42578125" style="3" customWidth="1"/>
    <col min="11799" max="12031" width="9.140625" style="3"/>
    <col min="12032" max="12032" width="7" style="3" bestFit="1" customWidth="1"/>
    <col min="12033" max="12033" width="8.42578125" style="3" customWidth="1"/>
    <col min="12034" max="12034" width="5.28515625" style="3" bestFit="1" customWidth="1"/>
    <col min="12035" max="12035" width="58.140625" style="3" customWidth="1"/>
    <col min="12036" max="12036" width="0" style="3" hidden="1" customWidth="1"/>
    <col min="12037" max="12037" width="18.42578125" style="3" bestFit="1" customWidth="1"/>
    <col min="12038" max="12038" width="0" style="3" hidden="1" customWidth="1"/>
    <col min="12039" max="12039" width="18.42578125" style="3" customWidth="1"/>
    <col min="12040" max="12040" width="0" style="3" hidden="1" customWidth="1"/>
    <col min="12041" max="12041" width="9.140625" style="3"/>
    <col min="12042" max="12042" width="0" style="3" hidden="1" customWidth="1"/>
    <col min="12043" max="12046" width="15.140625" style="3" customWidth="1"/>
    <col min="12047" max="12049" width="0" style="3" hidden="1" customWidth="1"/>
    <col min="12050" max="12051" width="10.7109375" style="3" bestFit="1" customWidth="1"/>
    <col min="12052" max="12052" width="10.28515625" style="3" bestFit="1" customWidth="1"/>
    <col min="12053" max="12053" width="11.85546875" style="3" bestFit="1" customWidth="1"/>
    <col min="12054" max="12054" width="15.42578125" style="3" customWidth="1"/>
    <col min="12055" max="12287" width="9.140625" style="3"/>
    <col min="12288" max="12288" width="7" style="3" bestFit="1" customWidth="1"/>
    <col min="12289" max="12289" width="8.42578125" style="3" customWidth="1"/>
    <col min="12290" max="12290" width="5.28515625" style="3" bestFit="1" customWidth="1"/>
    <col min="12291" max="12291" width="58.140625" style="3" customWidth="1"/>
    <col min="12292" max="12292" width="0" style="3" hidden="1" customWidth="1"/>
    <col min="12293" max="12293" width="18.42578125" style="3" bestFit="1" customWidth="1"/>
    <col min="12294" max="12294" width="0" style="3" hidden="1" customWidth="1"/>
    <col min="12295" max="12295" width="18.42578125" style="3" customWidth="1"/>
    <col min="12296" max="12296" width="0" style="3" hidden="1" customWidth="1"/>
    <col min="12297" max="12297" width="9.140625" style="3"/>
    <col min="12298" max="12298" width="0" style="3" hidden="1" customWidth="1"/>
    <col min="12299" max="12302" width="15.140625" style="3" customWidth="1"/>
    <col min="12303" max="12305" width="0" style="3" hidden="1" customWidth="1"/>
    <col min="12306" max="12307" width="10.7109375" style="3" bestFit="1" customWidth="1"/>
    <col min="12308" max="12308" width="10.28515625" style="3" bestFit="1" customWidth="1"/>
    <col min="12309" max="12309" width="11.85546875" style="3" bestFit="1" customWidth="1"/>
    <col min="12310" max="12310" width="15.42578125" style="3" customWidth="1"/>
    <col min="12311" max="12543" width="9.140625" style="3"/>
    <col min="12544" max="12544" width="7" style="3" bestFit="1" customWidth="1"/>
    <col min="12545" max="12545" width="8.42578125" style="3" customWidth="1"/>
    <col min="12546" max="12546" width="5.28515625" style="3" bestFit="1" customWidth="1"/>
    <col min="12547" max="12547" width="58.140625" style="3" customWidth="1"/>
    <col min="12548" max="12548" width="0" style="3" hidden="1" customWidth="1"/>
    <col min="12549" max="12549" width="18.42578125" style="3" bestFit="1" customWidth="1"/>
    <col min="12550" max="12550" width="0" style="3" hidden="1" customWidth="1"/>
    <col min="12551" max="12551" width="18.42578125" style="3" customWidth="1"/>
    <col min="12552" max="12552" width="0" style="3" hidden="1" customWidth="1"/>
    <col min="12553" max="12553" width="9.140625" style="3"/>
    <col min="12554" max="12554" width="0" style="3" hidden="1" customWidth="1"/>
    <col min="12555" max="12558" width="15.140625" style="3" customWidth="1"/>
    <col min="12559" max="12561" width="0" style="3" hidden="1" customWidth="1"/>
    <col min="12562" max="12563" width="10.7109375" style="3" bestFit="1" customWidth="1"/>
    <col min="12564" max="12564" width="10.28515625" style="3" bestFit="1" customWidth="1"/>
    <col min="12565" max="12565" width="11.85546875" style="3" bestFit="1" customWidth="1"/>
    <col min="12566" max="12566" width="15.42578125" style="3" customWidth="1"/>
    <col min="12567" max="12799" width="9.140625" style="3"/>
    <col min="12800" max="12800" width="7" style="3" bestFit="1" customWidth="1"/>
    <col min="12801" max="12801" width="8.42578125" style="3" customWidth="1"/>
    <col min="12802" max="12802" width="5.28515625" style="3" bestFit="1" customWidth="1"/>
    <col min="12803" max="12803" width="58.140625" style="3" customWidth="1"/>
    <col min="12804" max="12804" width="0" style="3" hidden="1" customWidth="1"/>
    <col min="12805" max="12805" width="18.42578125" style="3" bestFit="1" customWidth="1"/>
    <col min="12806" max="12806" width="0" style="3" hidden="1" customWidth="1"/>
    <col min="12807" max="12807" width="18.42578125" style="3" customWidth="1"/>
    <col min="12808" max="12808" width="0" style="3" hidden="1" customWidth="1"/>
    <col min="12809" max="12809" width="9.140625" style="3"/>
    <col min="12810" max="12810" width="0" style="3" hidden="1" customWidth="1"/>
    <col min="12811" max="12814" width="15.140625" style="3" customWidth="1"/>
    <col min="12815" max="12817" width="0" style="3" hidden="1" customWidth="1"/>
    <col min="12818" max="12819" width="10.7109375" style="3" bestFit="1" customWidth="1"/>
    <col min="12820" max="12820" width="10.28515625" style="3" bestFit="1" customWidth="1"/>
    <col min="12821" max="12821" width="11.85546875" style="3" bestFit="1" customWidth="1"/>
    <col min="12822" max="12822" width="15.42578125" style="3" customWidth="1"/>
    <col min="12823" max="13055" width="9.140625" style="3"/>
    <col min="13056" max="13056" width="7" style="3" bestFit="1" customWidth="1"/>
    <col min="13057" max="13057" width="8.42578125" style="3" customWidth="1"/>
    <col min="13058" max="13058" width="5.28515625" style="3" bestFit="1" customWidth="1"/>
    <col min="13059" max="13059" width="58.140625" style="3" customWidth="1"/>
    <col min="13060" max="13060" width="0" style="3" hidden="1" customWidth="1"/>
    <col min="13061" max="13061" width="18.42578125" style="3" bestFit="1" customWidth="1"/>
    <col min="13062" max="13062" width="0" style="3" hidden="1" customWidth="1"/>
    <col min="13063" max="13063" width="18.42578125" style="3" customWidth="1"/>
    <col min="13064" max="13064" width="0" style="3" hidden="1" customWidth="1"/>
    <col min="13065" max="13065" width="9.140625" style="3"/>
    <col min="13066" max="13066" width="0" style="3" hidden="1" customWidth="1"/>
    <col min="13067" max="13070" width="15.140625" style="3" customWidth="1"/>
    <col min="13071" max="13073" width="0" style="3" hidden="1" customWidth="1"/>
    <col min="13074" max="13075" width="10.7109375" style="3" bestFit="1" customWidth="1"/>
    <col min="13076" max="13076" width="10.28515625" style="3" bestFit="1" customWidth="1"/>
    <col min="13077" max="13077" width="11.85546875" style="3" bestFit="1" customWidth="1"/>
    <col min="13078" max="13078" width="15.42578125" style="3" customWidth="1"/>
    <col min="13079" max="13311" width="9.140625" style="3"/>
    <col min="13312" max="13312" width="7" style="3" bestFit="1" customWidth="1"/>
    <col min="13313" max="13313" width="8.42578125" style="3" customWidth="1"/>
    <col min="13314" max="13314" width="5.28515625" style="3" bestFit="1" customWidth="1"/>
    <col min="13315" max="13315" width="58.140625" style="3" customWidth="1"/>
    <col min="13316" max="13316" width="0" style="3" hidden="1" customWidth="1"/>
    <col min="13317" max="13317" width="18.42578125" style="3" bestFit="1" customWidth="1"/>
    <col min="13318" max="13318" width="0" style="3" hidden="1" customWidth="1"/>
    <col min="13319" max="13319" width="18.42578125" style="3" customWidth="1"/>
    <col min="13320" max="13320" width="0" style="3" hidden="1" customWidth="1"/>
    <col min="13321" max="13321" width="9.140625" style="3"/>
    <col min="13322" max="13322" width="0" style="3" hidden="1" customWidth="1"/>
    <col min="13323" max="13326" width="15.140625" style="3" customWidth="1"/>
    <col min="13327" max="13329" width="0" style="3" hidden="1" customWidth="1"/>
    <col min="13330" max="13331" width="10.7109375" style="3" bestFit="1" customWidth="1"/>
    <col min="13332" max="13332" width="10.28515625" style="3" bestFit="1" customWidth="1"/>
    <col min="13333" max="13333" width="11.85546875" style="3" bestFit="1" customWidth="1"/>
    <col min="13334" max="13334" width="15.42578125" style="3" customWidth="1"/>
    <col min="13335" max="13567" width="9.140625" style="3"/>
    <col min="13568" max="13568" width="7" style="3" bestFit="1" customWidth="1"/>
    <col min="13569" max="13569" width="8.42578125" style="3" customWidth="1"/>
    <col min="13570" max="13570" width="5.28515625" style="3" bestFit="1" customWidth="1"/>
    <col min="13571" max="13571" width="58.140625" style="3" customWidth="1"/>
    <col min="13572" max="13572" width="0" style="3" hidden="1" customWidth="1"/>
    <col min="13573" max="13573" width="18.42578125" style="3" bestFit="1" customWidth="1"/>
    <col min="13574" max="13574" width="0" style="3" hidden="1" customWidth="1"/>
    <col min="13575" max="13575" width="18.42578125" style="3" customWidth="1"/>
    <col min="13576" max="13576" width="0" style="3" hidden="1" customWidth="1"/>
    <col min="13577" max="13577" width="9.140625" style="3"/>
    <col min="13578" max="13578" width="0" style="3" hidden="1" customWidth="1"/>
    <col min="13579" max="13582" width="15.140625" style="3" customWidth="1"/>
    <col min="13583" max="13585" width="0" style="3" hidden="1" customWidth="1"/>
    <col min="13586" max="13587" width="10.7109375" style="3" bestFit="1" customWidth="1"/>
    <col min="13588" max="13588" width="10.28515625" style="3" bestFit="1" customWidth="1"/>
    <col min="13589" max="13589" width="11.85546875" style="3" bestFit="1" customWidth="1"/>
    <col min="13590" max="13590" width="15.42578125" style="3" customWidth="1"/>
    <col min="13591" max="13823" width="9.140625" style="3"/>
    <col min="13824" max="13824" width="7" style="3" bestFit="1" customWidth="1"/>
    <col min="13825" max="13825" width="8.42578125" style="3" customWidth="1"/>
    <col min="13826" max="13826" width="5.28515625" style="3" bestFit="1" customWidth="1"/>
    <col min="13827" max="13827" width="58.140625" style="3" customWidth="1"/>
    <col min="13828" max="13828" width="0" style="3" hidden="1" customWidth="1"/>
    <col min="13829" max="13829" width="18.42578125" style="3" bestFit="1" customWidth="1"/>
    <col min="13830" max="13830" width="0" style="3" hidden="1" customWidth="1"/>
    <col min="13831" max="13831" width="18.42578125" style="3" customWidth="1"/>
    <col min="13832" max="13832" width="0" style="3" hidden="1" customWidth="1"/>
    <col min="13833" max="13833" width="9.140625" style="3"/>
    <col min="13834" max="13834" width="0" style="3" hidden="1" customWidth="1"/>
    <col min="13835" max="13838" width="15.140625" style="3" customWidth="1"/>
    <col min="13839" max="13841" width="0" style="3" hidden="1" customWidth="1"/>
    <col min="13842" max="13843" width="10.7109375" style="3" bestFit="1" customWidth="1"/>
    <col min="13844" max="13844" width="10.28515625" style="3" bestFit="1" customWidth="1"/>
    <col min="13845" max="13845" width="11.85546875" style="3" bestFit="1" customWidth="1"/>
    <col min="13846" max="13846" width="15.42578125" style="3" customWidth="1"/>
    <col min="13847" max="14079" width="9.140625" style="3"/>
    <col min="14080" max="14080" width="7" style="3" bestFit="1" customWidth="1"/>
    <col min="14081" max="14081" width="8.42578125" style="3" customWidth="1"/>
    <col min="14082" max="14082" width="5.28515625" style="3" bestFit="1" customWidth="1"/>
    <col min="14083" max="14083" width="58.140625" style="3" customWidth="1"/>
    <col min="14084" max="14084" width="0" style="3" hidden="1" customWidth="1"/>
    <col min="14085" max="14085" width="18.42578125" style="3" bestFit="1" customWidth="1"/>
    <col min="14086" max="14086" width="0" style="3" hidden="1" customWidth="1"/>
    <col min="14087" max="14087" width="18.42578125" style="3" customWidth="1"/>
    <col min="14088" max="14088" width="0" style="3" hidden="1" customWidth="1"/>
    <col min="14089" max="14089" width="9.140625" style="3"/>
    <col min="14090" max="14090" width="0" style="3" hidden="1" customWidth="1"/>
    <col min="14091" max="14094" width="15.140625" style="3" customWidth="1"/>
    <col min="14095" max="14097" width="0" style="3" hidden="1" customWidth="1"/>
    <col min="14098" max="14099" width="10.7109375" style="3" bestFit="1" customWidth="1"/>
    <col min="14100" max="14100" width="10.28515625" style="3" bestFit="1" customWidth="1"/>
    <col min="14101" max="14101" width="11.85546875" style="3" bestFit="1" customWidth="1"/>
    <col min="14102" max="14102" width="15.42578125" style="3" customWidth="1"/>
    <col min="14103" max="14335" width="9.140625" style="3"/>
    <col min="14336" max="14336" width="7" style="3" bestFit="1" customWidth="1"/>
    <col min="14337" max="14337" width="8.42578125" style="3" customWidth="1"/>
    <col min="14338" max="14338" width="5.28515625" style="3" bestFit="1" customWidth="1"/>
    <col min="14339" max="14339" width="58.140625" style="3" customWidth="1"/>
    <col min="14340" max="14340" width="0" style="3" hidden="1" customWidth="1"/>
    <col min="14341" max="14341" width="18.42578125" style="3" bestFit="1" customWidth="1"/>
    <col min="14342" max="14342" width="0" style="3" hidden="1" customWidth="1"/>
    <col min="14343" max="14343" width="18.42578125" style="3" customWidth="1"/>
    <col min="14344" max="14344" width="0" style="3" hidden="1" customWidth="1"/>
    <col min="14345" max="14345" width="9.140625" style="3"/>
    <col min="14346" max="14346" width="0" style="3" hidden="1" customWidth="1"/>
    <col min="14347" max="14350" width="15.140625" style="3" customWidth="1"/>
    <col min="14351" max="14353" width="0" style="3" hidden="1" customWidth="1"/>
    <col min="14354" max="14355" width="10.7109375" style="3" bestFit="1" customWidth="1"/>
    <col min="14356" max="14356" width="10.28515625" style="3" bestFit="1" customWidth="1"/>
    <col min="14357" max="14357" width="11.85546875" style="3" bestFit="1" customWidth="1"/>
    <col min="14358" max="14358" width="15.42578125" style="3" customWidth="1"/>
    <col min="14359" max="14591" width="9.140625" style="3"/>
    <col min="14592" max="14592" width="7" style="3" bestFit="1" customWidth="1"/>
    <col min="14593" max="14593" width="8.42578125" style="3" customWidth="1"/>
    <col min="14594" max="14594" width="5.28515625" style="3" bestFit="1" customWidth="1"/>
    <col min="14595" max="14595" width="58.140625" style="3" customWidth="1"/>
    <col min="14596" max="14596" width="0" style="3" hidden="1" customWidth="1"/>
    <col min="14597" max="14597" width="18.42578125" style="3" bestFit="1" customWidth="1"/>
    <col min="14598" max="14598" width="0" style="3" hidden="1" customWidth="1"/>
    <col min="14599" max="14599" width="18.42578125" style="3" customWidth="1"/>
    <col min="14600" max="14600" width="0" style="3" hidden="1" customWidth="1"/>
    <col min="14601" max="14601" width="9.140625" style="3"/>
    <col min="14602" max="14602" width="0" style="3" hidden="1" customWidth="1"/>
    <col min="14603" max="14606" width="15.140625" style="3" customWidth="1"/>
    <col min="14607" max="14609" width="0" style="3" hidden="1" customWidth="1"/>
    <col min="14610" max="14611" width="10.7109375" style="3" bestFit="1" customWidth="1"/>
    <col min="14612" max="14612" width="10.28515625" style="3" bestFit="1" customWidth="1"/>
    <col min="14613" max="14613" width="11.85546875" style="3" bestFit="1" customWidth="1"/>
    <col min="14614" max="14614" width="15.42578125" style="3" customWidth="1"/>
    <col min="14615" max="14847" width="9.140625" style="3"/>
    <col min="14848" max="14848" width="7" style="3" bestFit="1" customWidth="1"/>
    <col min="14849" max="14849" width="8.42578125" style="3" customWidth="1"/>
    <col min="14850" max="14850" width="5.28515625" style="3" bestFit="1" customWidth="1"/>
    <col min="14851" max="14851" width="58.140625" style="3" customWidth="1"/>
    <col min="14852" max="14852" width="0" style="3" hidden="1" customWidth="1"/>
    <col min="14853" max="14853" width="18.42578125" style="3" bestFit="1" customWidth="1"/>
    <col min="14854" max="14854" width="0" style="3" hidden="1" customWidth="1"/>
    <col min="14855" max="14855" width="18.42578125" style="3" customWidth="1"/>
    <col min="14856" max="14856" width="0" style="3" hidden="1" customWidth="1"/>
    <col min="14857" max="14857" width="9.140625" style="3"/>
    <col min="14858" max="14858" width="0" style="3" hidden="1" customWidth="1"/>
    <col min="14859" max="14862" width="15.140625" style="3" customWidth="1"/>
    <col min="14863" max="14865" width="0" style="3" hidden="1" customWidth="1"/>
    <col min="14866" max="14867" width="10.7109375" style="3" bestFit="1" customWidth="1"/>
    <col min="14868" max="14868" width="10.28515625" style="3" bestFit="1" customWidth="1"/>
    <col min="14869" max="14869" width="11.85546875" style="3" bestFit="1" customWidth="1"/>
    <col min="14870" max="14870" width="15.42578125" style="3" customWidth="1"/>
    <col min="14871" max="15103" width="9.140625" style="3"/>
    <col min="15104" max="15104" width="7" style="3" bestFit="1" customWidth="1"/>
    <col min="15105" max="15105" width="8.42578125" style="3" customWidth="1"/>
    <col min="15106" max="15106" width="5.28515625" style="3" bestFit="1" customWidth="1"/>
    <col min="15107" max="15107" width="58.140625" style="3" customWidth="1"/>
    <col min="15108" max="15108" width="0" style="3" hidden="1" customWidth="1"/>
    <col min="15109" max="15109" width="18.42578125" style="3" bestFit="1" customWidth="1"/>
    <col min="15110" max="15110" width="0" style="3" hidden="1" customWidth="1"/>
    <col min="15111" max="15111" width="18.42578125" style="3" customWidth="1"/>
    <col min="15112" max="15112" width="0" style="3" hidden="1" customWidth="1"/>
    <col min="15113" max="15113" width="9.140625" style="3"/>
    <col min="15114" max="15114" width="0" style="3" hidden="1" customWidth="1"/>
    <col min="15115" max="15118" width="15.140625" style="3" customWidth="1"/>
    <col min="15119" max="15121" width="0" style="3" hidden="1" customWidth="1"/>
    <col min="15122" max="15123" width="10.7109375" style="3" bestFit="1" customWidth="1"/>
    <col min="15124" max="15124" width="10.28515625" style="3" bestFit="1" customWidth="1"/>
    <col min="15125" max="15125" width="11.85546875" style="3" bestFit="1" customWidth="1"/>
    <col min="15126" max="15126" width="15.42578125" style="3" customWidth="1"/>
    <col min="15127" max="15359" width="9.140625" style="3"/>
    <col min="15360" max="15360" width="7" style="3" bestFit="1" customWidth="1"/>
    <col min="15361" max="15361" width="8.42578125" style="3" customWidth="1"/>
    <col min="15362" max="15362" width="5.28515625" style="3" bestFit="1" customWidth="1"/>
    <col min="15363" max="15363" width="58.140625" style="3" customWidth="1"/>
    <col min="15364" max="15364" width="0" style="3" hidden="1" customWidth="1"/>
    <col min="15365" max="15365" width="18.42578125" style="3" bestFit="1" customWidth="1"/>
    <col min="15366" max="15366" width="0" style="3" hidden="1" customWidth="1"/>
    <col min="15367" max="15367" width="18.42578125" style="3" customWidth="1"/>
    <col min="15368" max="15368" width="0" style="3" hidden="1" customWidth="1"/>
    <col min="15369" max="15369" width="9.140625" style="3"/>
    <col min="15370" max="15370" width="0" style="3" hidden="1" customWidth="1"/>
    <col min="15371" max="15374" width="15.140625" style="3" customWidth="1"/>
    <col min="15375" max="15377" width="0" style="3" hidden="1" customWidth="1"/>
    <col min="15378" max="15379" width="10.7109375" style="3" bestFit="1" customWidth="1"/>
    <col min="15380" max="15380" width="10.28515625" style="3" bestFit="1" customWidth="1"/>
    <col min="15381" max="15381" width="11.85546875" style="3" bestFit="1" customWidth="1"/>
    <col min="15382" max="15382" width="15.42578125" style="3" customWidth="1"/>
    <col min="15383" max="15615" width="9.140625" style="3"/>
    <col min="15616" max="15616" width="7" style="3" bestFit="1" customWidth="1"/>
    <col min="15617" max="15617" width="8.42578125" style="3" customWidth="1"/>
    <col min="15618" max="15618" width="5.28515625" style="3" bestFit="1" customWidth="1"/>
    <col min="15619" max="15619" width="58.140625" style="3" customWidth="1"/>
    <col min="15620" max="15620" width="0" style="3" hidden="1" customWidth="1"/>
    <col min="15621" max="15621" width="18.42578125" style="3" bestFit="1" customWidth="1"/>
    <col min="15622" max="15622" width="0" style="3" hidden="1" customWidth="1"/>
    <col min="15623" max="15623" width="18.42578125" style="3" customWidth="1"/>
    <col min="15624" max="15624" width="0" style="3" hidden="1" customWidth="1"/>
    <col min="15625" max="15625" width="9.140625" style="3"/>
    <col min="15626" max="15626" width="0" style="3" hidden="1" customWidth="1"/>
    <col min="15627" max="15630" width="15.140625" style="3" customWidth="1"/>
    <col min="15631" max="15633" width="0" style="3" hidden="1" customWidth="1"/>
    <col min="15634" max="15635" width="10.7109375" style="3" bestFit="1" customWidth="1"/>
    <col min="15636" max="15636" width="10.28515625" style="3" bestFit="1" customWidth="1"/>
    <col min="15637" max="15637" width="11.85546875" style="3" bestFit="1" customWidth="1"/>
    <col min="15638" max="15638" width="15.42578125" style="3" customWidth="1"/>
    <col min="15639" max="15871" width="9.140625" style="3"/>
    <col min="15872" max="15872" width="7" style="3" bestFit="1" customWidth="1"/>
    <col min="15873" max="15873" width="8.42578125" style="3" customWidth="1"/>
    <col min="15874" max="15874" width="5.28515625" style="3" bestFit="1" customWidth="1"/>
    <col min="15875" max="15875" width="58.140625" style="3" customWidth="1"/>
    <col min="15876" max="15876" width="0" style="3" hidden="1" customWidth="1"/>
    <col min="15877" max="15877" width="18.42578125" style="3" bestFit="1" customWidth="1"/>
    <col min="15878" max="15878" width="0" style="3" hidden="1" customWidth="1"/>
    <col min="15879" max="15879" width="18.42578125" style="3" customWidth="1"/>
    <col min="15880" max="15880" width="0" style="3" hidden="1" customWidth="1"/>
    <col min="15881" max="15881" width="9.140625" style="3"/>
    <col min="15882" max="15882" width="0" style="3" hidden="1" customWidth="1"/>
    <col min="15883" max="15886" width="15.140625" style="3" customWidth="1"/>
    <col min="15887" max="15889" width="0" style="3" hidden="1" customWidth="1"/>
    <col min="15890" max="15891" width="10.7109375" style="3" bestFit="1" customWidth="1"/>
    <col min="15892" max="15892" width="10.28515625" style="3" bestFit="1" customWidth="1"/>
    <col min="15893" max="15893" width="11.85546875" style="3" bestFit="1" customWidth="1"/>
    <col min="15894" max="15894" width="15.42578125" style="3" customWidth="1"/>
    <col min="15895" max="16127" width="9.140625" style="3"/>
    <col min="16128" max="16128" width="7" style="3" bestFit="1" customWidth="1"/>
    <col min="16129" max="16129" width="8.42578125" style="3" customWidth="1"/>
    <col min="16130" max="16130" width="5.28515625" style="3" bestFit="1" customWidth="1"/>
    <col min="16131" max="16131" width="58.140625" style="3" customWidth="1"/>
    <col min="16132" max="16132" width="0" style="3" hidden="1" customWidth="1"/>
    <col min="16133" max="16133" width="18.42578125" style="3" bestFit="1" customWidth="1"/>
    <col min="16134" max="16134" width="0" style="3" hidden="1" customWidth="1"/>
    <col min="16135" max="16135" width="18.42578125" style="3" customWidth="1"/>
    <col min="16136" max="16136" width="0" style="3" hidden="1" customWidth="1"/>
    <col min="16137" max="16137" width="9.140625" style="3"/>
    <col min="16138" max="16138" width="0" style="3" hidden="1" customWidth="1"/>
    <col min="16139" max="16142" width="15.140625" style="3" customWidth="1"/>
    <col min="16143" max="16145" width="0" style="3" hidden="1" customWidth="1"/>
    <col min="16146" max="16147" width="10.7109375" style="3" bestFit="1" customWidth="1"/>
    <col min="16148" max="16148" width="10.28515625" style="3" bestFit="1" customWidth="1"/>
    <col min="16149" max="16149" width="11.85546875" style="3" bestFit="1" customWidth="1"/>
    <col min="16150" max="16150" width="15.42578125" style="3" customWidth="1"/>
    <col min="16151" max="16384" width="9.140625" style="3"/>
  </cols>
  <sheetData>
    <row r="1" spans="1:17" ht="31.5" customHeight="1" x14ac:dyDescent="0.25">
      <c r="A1" s="931" t="s">
        <v>0</v>
      </c>
      <c r="B1" s="931"/>
      <c r="C1" s="931"/>
      <c r="D1" s="931"/>
      <c r="E1" s="931"/>
      <c r="F1" s="931"/>
      <c r="G1" s="931"/>
      <c r="H1" s="931"/>
      <c r="I1" s="931"/>
      <c r="J1" s="1"/>
    </row>
    <row r="2" spans="1:17" ht="31.5" customHeight="1" x14ac:dyDescent="0.25">
      <c r="A2" s="932" t="s">
        <v>276</v>
      </c>
      <c r="B2" s="932"/>
      <c r="C2" s="932"/>
      <c r="D2" s="932"/>
      <c r="E2" s="932"/>
      <c r="F2" s="932"/>
      <c r="G2" s="932"/>
      <c r="H2" s="932"/>
      <c r="I2" s="932"/>
      <c r="J2" s="4"/>
    </row>
    <row r="3" spans="1:17" ht="31.5" customHeight="1" x14ac:dyDescent="0.25">
      <c r="A3" s="932" t="s">
        <v>380</v>
      </c>
      <c r="B3" s="932"/>
      <c r="C3" s="932"/>
      <c r="D3" s="932"/>
      <c r="E3" s="932"/>
      <c r="F3" s="932"/>
      <c r="G3" s="932"/>
      <c r="H3" s="932"/>
      <c r="I3" s="932"/>
      <c r="J3" s="4"/>
    </row>
    <row r="4" spans="1:17" s="12" customFormat="1" x14ac:dyDescent="0.25">
      <c r="A4" s="134"/>
      <c r="B4" s="131"/>
      <c r="C4" s="131"/>
      <c r="D4" s="131"/>
      <c r="E4" s="131"/>
      <c r="F4" s="135"/>
      <c r="G4" s="135"/>
      <c r="H4" s="131"/>
      <c r="I4" s="131"/>
      <c r="J4" s="131"/>
      <c r="K4" s="3"/>
      <c r="L4" s="3"/>
      <c r="M4" s="3"/>
      <c r="N4" s="3"/>
      <c r="O4" s="3"/>
      <c r="P4" s="3"/>
      <c r="Q4" s="3"/>
    </row>
    <row r="5" spans="1:17" s="20" customFormat="1" ht="15.75" customHeight="1" x14ac:dyDescent="0.25">
      <c r="A5" s="925" t="s">
        <v>82</v>
      </c>
      <c r="B5" s="926"/>
      <c r="C5" s="926"/>
      <c r="D5" s="926"/>
      <c r="E5" s="926"/>
      <c r="F5" s="926"/>
      <c r="G5" s="926"/>
      <c r="H5" s="926"/>
      <c r="I5" s="926"/>
      <c r="J5" s="613"/>
      <c r="K5" s="19"/>
      <c r="L5" s="19"/>
      <c r="M5" s="19"/>
      <c r="N5" s="19"/>
      <c r="O5" s="19"/>
      <c r="P5" s="19"/>
      <c r="Q5" s="19"/>
    </row>
    <row r="6" spans="1:17" s="12" customFormat="1" ht="60" x14ac:dyDescent="0.25">
      <c r="A6" s="7" t="s">
        <v>3</v>
      </c>
      <c r="B6" s="7" t="s">
        <v>4</v>
      </c>
      <c r="C6" s="8" t="s">
        <v>5</v>
      </c>
      <c r="D6" s="9" t="s">
        <v>6</v>
      </c>
      <c r="E6" s="7" t="s">
        <v>629</v>
      </c>
      <c r="F6" s="694" t="s">
        <v>608</v>
      </c>
      <c r="G6" s="502" t="s">
        <v>609</v>
      </c>
      <c r="H6" s="503" t="s">
        <v>618</v>
      </c>
      <c r="I6" s="504" t="s">
        <v>547</v>
      </c>
      <c r="J6" s="504" t="s">
        <v>547</v>
      </c>
      <c r="K6" s="381"/>
      <c r="L6" s="3"/>
      <c r="M6" s="3"/>
      <c r="N6" s="3"/>
      <c r="O6" s="3"/>
      <c r="P6" s="3"/>
      <c r="Q6" s="3"/>
    </row>
    <row r="7" spans="1:17" s="12" customFormat="1" x14ac:dyDescent="0.25">
      <c r="A7" s="927">
        <v>1</v>
      </c>
      <c r="B7" s="927"/>
      <c r="C7" s="927"/>
      <c r="D7" s="927"/>
      <c r="E7" s="541">
        <v>2</v>
      </c>
      <c r="F7" s="382">
        <v>3</v>
      </c>
      <c r="G7" s="382">
        <v>4</v>
      </c>
      <c r="H7" s="14">
        <v>5</v>
      </c>
      <c r="I7" s="14" t="s">
        <v>546</v>
      </c>
      <c r="J7" s="14" t="s">
        <v>551</v>
      </c>
      <c r="K7" s="3"/>
      <c r="L7" s="3"/>
      <c r="M7" s="3"/>
      <c r="N7" s="3"/>
      <c r="O7" s="3"/>
      <c r="P7" s="3"/>
      <c r="Q7" s="3"/>
    </row>
    <row r="8" spans="1:17" s="12" customFormat="1" x14ac:dyDescent="0.25">
      <c r="A8" s="383">
        <v>3</v>
      </c>
      <c r="B8" s="384"/>
      <c r="C8" s="384"/>
      <c r="D8" s="139" t="s">
        <v>87</v>
      </c>
      <c r="E8" s="385">
        <f>E11+E58+(E247-0.01)+E353+E421+E446+E471</f>
        <v>2567146.5599999996</v>
      </c>
      <c r="F8" s="385">
        <f>F11+F58+F247+F353+F421+F446+F471</f>
        <v>4299508.6900000004</v>
      </c>
      <c r="G8" s="385">
        <f>G11+G58+G247+G353+G421+G446+G471</f>
        <v>4244329.6000000006</v>
      </c>
      <c r="H8" s="385">
        <f>H11+H58+H247+H353+H421+H446+H471</f>
        <v>2396625.08</v>
      </c>
      <c r="I8" s="600">
        <f>H8/F8*100</f>
        <v>55.7418359352124</v>
      </c>
      <c r="J8" s="600">
        <f>H8/G8*100</f>
        <v>56.466516643759235</v>
      </c>
      <c r="K8" s="386"/>
      <c r="L8" s="386"/>
      <c r="M8" s="3"/>
      <c r="N8" s="3"/>
      <c r="O8" s="3"/>
      <c r="P8" s="3"/>
      <c r="Q8" s="3"/>
    </row>
    <row r="9" spans="1:17" s="12" customFormat="1" x14ac:dyDescent="0.25">
      <c r="A9" s="383">
        <v>4</v>
      </c>
      <c r="B9" s="384"/>
      <c r="C9" s="384"/>
      <c r="D9" s="387" t="s">
        <v>174</v>
      </c>
      <c r="E9" s="385">
        <f>E41+E212+E331+E414+E459+E482</f>
        <v>83303.889999999985</v>
      </c>
      <c r="F9" s="385">
        <f>F41+F212+F331+F414+F459+F482</f>
        <v>426425.88</v>
      </c>
      <c r="G9" s="385">
        <f>G41+G212+G331+G414+G441+G459+G482</f>
        <v>369702.17000000004</v>
      </c>
      <c r="H9" s="385">
        <f>H41+H212+H331+H414+H441+H459+H482</f>
        <v>169919.99</v>
      </c>
      <c r="I9" s="600">
        <f t="shared" ref="I9:I90" si="0">H9/F9*100</f>
        <v>39.847485335552335</v>
      </c>
      <c r="J9" s="600">
        <f t="shared" ref="J9:J86" si="1">H9/G9*100</f>
        <v>45.961317998214604</v>
      </c>
      <c r="K9" s="386"/>
      <c r="L9" s="3"/>
      <c r="M9" s="3"/>
      <c r="N9" s="3"/>
      <c r="O9" s="3"/>
      <c r="P9" s="3"/>
      <c r="Q9" s="3"/>
    </row>
    <row r="10" spans="1:17" s="12" customFormat="1" x14ac:dyDescent="0.25">
      <c r="A10" s="388"/>
      <c r="B10" s="388"/>
      <c r="C10" s="388"/>
      <c r="D10" s="389" t="s">
        <v>304</v>
      </c>
      <c r="E10" s="390"/>
      <c r="F10" s="390"/>
      <c r="G10" s="390"/>
      <c r="H10" s="390"/>
      <c r="I10" s="602" t="e">
        <f t="shared" si="0"/>
        <v>#DIV/0!</v>
      </c>
      <c r="J10" s="602" t="e">
        <f t="shared" si="1"/>
        <v>#DIV/0!</v>
      </c>
      <c r="K10" s="386"/>
      <c r="L10" s="3"/>
      <c r="M10" s="3"/>
      <c r="N10" s="3"/>
      <c r="O10" s="3"/>
      <c r="P10" s="3"/>
      <c r="Q10" s="3"/>
    </row>
    <row r="11" spans="1:17" s="12" customFormat="1" x14ac:dyDescent="0.25">
      <c r="A11" s="137" t="s">
        <v>86</v>
      </c>
      <c r="B11" s="137"/>
      <c r="C11" s="138"/>
      <c r="D11" s="139" t="s">
        <v>87</v>
      </c>
      <c r="E11" s="140">
        <f>E12+E19</f>
        <v>53837.27</v>
      </c>
      <c r="F11" s="140">
        <f>F12+F19</f>
        <v>103638.02</v>
      </c>
      <c r="G11" s="140">
        <f>G12+G19</f>
        <v>102264.02</v>
      </c>
      <c r="H11" s="140">
        <f>H12+H19</f>
        <v>116122.24999999999</v>
      </c>
      <c r="I11" s="600">
        <f t="shared" si="0"/>
        <v>112.04599431752939</v>
      </c>
      <c r="J11" s="600">
        <f t="shared" si="1"/>
        <v>113.55142307137933</v>
      </c>
      <c r="K11" s="3"/>
      <c r="L11" s="3"/>
      <c r="M11" s="3"/>
      <c r="N11" s="3"/>
      <c r="O11" s="3"/>
      <c r="P11" s="3"/>
      <c r="Q11" s="3"/>
    </row>
    <row r="12" spans="1:17" s="12" customFormat="1" x14ac:dyDescent="0.25">
      <c r="A12" s="105"/>
      <c r="B12" s="22">
        <v>31</v>
      </c>
      <c r="C12" s="141"/>
      <c r="D12" s="142" t="s">
        <v>88</v>
      </c>
      <c r="E12" s="42">
        <f>E13+E16</f>
        <v>4777.92</v>
      </c>
      <c r="F12" s="42">
        <f>F13+F16</f>
        <v>6978.0199999999995</v>
      </c>
      <c r="G12" s="42">
        <f>G13+G16</f>
        <v>6978.0199999999995</v>
      </c>
      <c r="H12" s="42">
        <f t="shared" ref="H12" si="2">H13+H16</f>
        <v>44588.959999999992</v>
      </c>
      <c r="I12" s="606">
        <f t="shared" si="0"/>
        <v>638.99157640706096</v>
      </c>
      <c r="J12" s="606">
        <f t="shared" si="1"/>
        <v>638.99157640706096</v>
      </c>
      <c r="K12" s="3"/>
      <c r="L12" s="3"/>
      <c r="M12" s="3"/>
      <c r="N12" s="3"/>
      <c r="O12" s="3"/>
      <c r="P12" s="3"/>
      <c r="Q12" s="3"/>
    </row>
    <row r="13" spans="1:17" s="20" customFormat="1" x14ac:dyDescent="0.25">
      <c r="A13" s="105"/>
      <c r="B13" s="43">
        <v>311</v>
      </c>
      <c r="C13" s="143"/>
      <c r="D13" s="105" t="s">
        <v>89</v>
      </c>
      <c r="E13" s="46">
        <f t="shared" ref="E13:G14" si="3">SUM(E14)</f>
        <v>4101.24</v>
      </c>
      <c r="F13" s="46">
        <f t="shared" si="3"/>
        <v>5989.73</v>
      </c>
      <c r="G13" s="46">
        <f t="shared" si="3"/>
        <v>5989.73</v>
      </c>
      <c r="H13" s="46">
        <f t="shared" ref="H13:H14" si="4">SUM(H14)</f>
        <v>3939.0299999999997</v>
      </c>
      <c r="I13" s="602">
        <f t="shared" si="0"/>
        <v>65.763064445308885</v>
      </c>
      <c r="J13" s="602">
        <f t="shared" si="1"/>
        <v>65.763064445308885</v>
      </c>
      <c r="K13" s="19"/>
      <c r="L13" s="19"/>
      <c r="M13" s="19"/>
      <c r="N13" s="19"/>
      <c r="O13" s="19"/>
      <c r="P13" s="19"/>
      <c r="Q13" s="19"/>
    </row>
    <row r="14" spans="1:17" s="20" customFormat="1" x14ac:dyDescent="0.25">
      <c r="A14" s="105"/>
      <c r="B14" s="149">
        <v>3111</v>
      </c>
      <c r="C14" s="148"/>
      <c r="D14" s="148" t="s">
        <v>90</v>
      </c>
      <c r="E14" s="46">
        <f t="shared" si="3"/>
        <v>4101.24</v>
      </c>
      <c r="F14" s="46">
        <f t="shared" si="3"/>
        <v>5989.73</v>
      </c>
      <c r="G14" s="46">
        <f t="shared" si="3"/>
        <v>5989.73</v>
      </c>
      <c r="H14" s="46">
        <f t="shared" si="4"/>
        <v>3939.0299999999997</v>
      </c>
      <c r="I14" s="602">
        <f t="shared" si="0"/>
        <v>65.763064445308885</v>
      </c>
      <c r="J14" s="602">
        <f t="shared" si="1"/>
        <v>65.763064445308885</v>
      </c>
      <c r="K14" s="19"/>
      <c r="L14" s="19"/>
      <c r="M14" s="19"/>
      <c r="N14" s="19"/>
      <c r="O14" s="19"/>
      <c r="P14" s="19"/>
      <c r="Q14" s="19"/>
    </row>
    <row r="15" spans="1:17" s="147" customFormat="1" x14ac:dyDescent="0.25">
      <c r="A15" s="143"/>
      <c r="B15" s="144" t="s">
        <v>466</v>
      </c>
      <c r="C15" s="143"/>
      <c r="D15" s="143" t="s">
        <v>90</v>
      </c>
      <c r="E15" s="145">
        <f>'Rekapitulacija Posebni dio'!C480+'Rekapitulacija Posebni dio'!C499+'Rekapitulacija Posebni dio'!C518</f>
        <v>4101.24</v>
      </c>
      <c r="F15" s="145">
        <f>'Rekapitulacija Posebni dio'!D480+'Rekapitulacija Posebni dio'!D499+'Rekapitulacija Posebni dio'!D518</f>
        <v>5989.73</v>
      </c>
      <c r="G15" s="145">
        <f>'Rekapitulacija Posebni dio'!E480+'Rekapitulacija Posebni dio'!E499+'Rekapitulacija Posebni dio'!E518</f>
        <v>5989.73</v>
      </c>
      <c r="H15" s="145">
        <f>'Rekapitulacija Posebni dio'!F480+'Rekapitulacija Posebni dio'!F499+'Rekapitulacija Posebni dio'!F518</f>
        <v>3939.0299999999997</v>
      </c>
      <c r="I15" s="602">
        <f t="shared" si="0"/>
        <v>65.763064445308885</v>
      </c>
      <c r="J15" s="602">
        <f t="shared" si="1"/>
        <v>65.763064445308885</v>
      </c>
      <c r="K15" s="146"/>
      <c r="L15" s="146"/>
      <c r="M15" s="146"/>
      <c r="N15" s="146"/>
      <c r="O15" s="146"/>
      <c r="P15" s="146"/>
      <c r="Q15" s="146"/>
    </row>
    <row r="16" spans="1:17" s="147" customFormat="1" x14ac:dyDescent="0.25">
      <c r="A16" s="105"/>
      <c r="B16" s="53">
        <v>313</v>
      </c>
      <c r="C16" s="105"/>
      <c r="D16" s="105" t="s">
        <v>100</v>
      </c>
      <c r="E16" s="152">
        <f t="shared" ref="E16:G17" si="5">SUM(E17)</f>
        <v>676.68</v>
      </c>
      <c r="F16" s="152">
        <f t="shared" si="5"/>
        <v>988.29</v>
      </c>
      <c r="G16" s="152">
        <f t="shared" si="5"/>
        <v>988.29</v>
      </c>
      <c r="H16" s="152">
        <f t="shared" ref="H16:H17" si="6">SUM(H17)</f>
        <v>40649.929999999993</v>
      </c>
      <c r="I16" s="602">
        <f>H16/F16*100</f>
        <v>4113.1580811300328</v>
      </c>
      <c r="J16" s="602">
        <f>H16/G16*100</f>
        <v>4113.1580811300328</v>
      </c>
      <c r="K16" s="146"/>
      <c r="L16" s="146"/>
      <c r="M16" s="146"/>
      <c r="N16" s="146"/>
      <c r="O16" s="146"/>
      <c r="P16" s="146"/>
      <c r="Q16" s="146"/>
    </row>
    <row r="17" spans="1:17" s="147" customFormat="1" x14ac:dyDescent="0.25">
      <c r="A17" s="105"/>
      <c r="B17" s="60">
        <v>3132</v>
      </c>
      <c r="C17" s="148"/>
      <c r="D17" s="148" t="s">
        <v>101</v>
      </c>
      <c r="E17" s="217">
        <f t="shared" si="5"/>
        <v>676.68</v>
      </c>
      <c r="F17" s="217">
        <f t="shared" si="5"/>
        <v>988.29</v>
      </c>
      <c r="G17" s="217">
        <f t="shared" si="5"/>
        <v>988.29</v>
      </c>
      <c r="H17" s="217">
        <f t="shared" si="6"/>
        <v>40649.929999999993</v>
      </c>
      <c r="I17" s="602">
        <f t="shared" si="0"/>
        <v>4113.1580811300328</v>
      </c>
      <c r="J17" s="602">
        <f t="shared" si="1"/>
        <v>4113.1580811300328</v>
      </c>
      <c r="K17" s="146"/>
      <c r="L17" s="146"/>
      <c r="M17" s="146"/>
      <c r="N17" s="146"/>
      <c r="O17" s="146"/>
      <c r="P17" s="146"/>
      <c r="Q17" s="146"/>
    </row>
    <row r="18" spans="1:17" s="12" customFormat="1" x14ac:dyDescent="0.25">
      <c r="A18" s="143"/>
      <c r="B18" s="57" t="s">
        <v>476</v>
      </c>
      <c r="C18" s="143"/>
      <c r="D18" s="143" t="s">
        <v>101</v>
      </c>
      <c r="E18" s="145">
        <f>'Rekapitulacija Posebni dio'!C485+'Rekapitulacija Posebni dio'!C504+'Rekapitulacija Posebni dio'!C523</f>
        <v>676.68</v>
      </c>
      <c r="F18" s="145">
        <f>'Rekapitulacija Posebni dio'!D485+'Rekapitulacija Posebni dio'!D504+'Rekapitulacija Posebni dio'!D523</f>
        <v>988.29</v>
      </c>
      <c r="G18" s="145">
        <f>'Rekapitulacija Posebni dio'!E485+'Rekapitulacija Posebni dio'!E504+'Rekapitulacija Posebni dio'!E523</f>
        <v>988.29</v>
      </c>
      <c r="H18" s="145">
        <f>'Rekapitulacija Posebni dio'!F401+'Rekapitulacija Posebni dio'!F485+'Rekapitulacija Posebni dio'!F504+'Rekapitulacija Posebni dio'!F523</f>
        <v>40649.929999999993</v>
      </c>
      <c r="I18" s="602">
        <f t="shared" si="0"/>
        <v>4113.1580811300328</v>
      </c>
      <c r="J18" s="602">
        <f t="shared" si="1"/>
        <v>4113.1580811300328</v>
      </c>
      <c r="K18" s="3"/>
      <c r="L18" s="3"/>
      <c r="M18" s="3"/>
      <c r="N18" s="3"/>
      <c r="O18" s="3"/>
      <c r="P18" s="3"/>
      <c r="Q18" s="3"/>
    </row>
    <row r="19" spans="1:17" s="12" customFormat="1" x14ac:dyDescent="0.25">
      <c r="A19" s="105"/>
      <c r="B19" s="22">
        <v>32</v>
      </c>
      <c r="C19" s="141"/>
      <c r="D19" s="142" t="s">
        <v>102</v>
      </c>
      <c r="E19" s="42">
        <f>E26</f>
        <v>49059.35</v>
      </c>
      <c r="F19" s="42">
        <f>F26</f>
        <v>96660</v>
      </c>
      <c r="G19" s="42">
        <f>G20+G26+G37</f>
        <v>95286</v>
      </c>
      <c r="H19" s="42">
        <f>H20+H26+H37</f>
        <v>71533.289999999994</v>
      </c>
      <c r="I19" s="42" t="e">
        <f>I20+I26</f>
        <v>#DIV/0!</v>
      </c>
      <c r="J19" s="606">
        <f t="shared" si="1"/>
        <v>75.072193186827022</v>
      </c>
      <c r="K19" s="3"/>
      <c r="L19" s="3"/>
      <c r="M19" s="3"/>
      <c r="N19" s="3"/>
      <c r="O19" s="3"/>
      <c r="P19" s="3"/>
      <c r="Q19" s="3"/>
    </row>
    <row r="20" spans="1:17" s="12" customFormat="1" x14ac:dyDescent="0.25">
      <c r="A20" s="105"/>
      <c r="B20" s="43" t="s">
        <v>112</v>
      </c>
      <c r="C20" s="105"/>
      <c r="D20" s="173" t="s">
        <v>113</v>
      </c>
      <c r="E20" s="46"/>
      <c r="F20" s="46"/>
      <c r="G20" s="46">
        <f>G24</f>
        <v>0</v>
      </c>
      <c r="H20" s="46">
        <f>H21+H24</f>
        <v>0</v>
      </c>
      <c r="I20" s="602" t="e">
        <f t="shared" si="0"/>
        <v>#DIV/0!</v>
      </c>
      <c r="J20" s="602" t="e">
        <f t="shared" si="1"/>
        <v>#DIV/0!</v>
      </c>
      <c r="K20" s="3"/>
      <c r="L20" s="3"/>
      <c r="M20" s="3"/>
      <c r="N20" s="3"/>
      <c r="O20" s="3"/>
      <c r="P20" s="3"/>
      <c r="Q20" s="3"/>
    </row>
    <row r="21" spans="1:17" s="12" customFormat="1" hidden="1" x14ac:dyDescent="0.25">
      <c r="A21" s="105"/>
      <c r="B21" s="43" t="s">
        <v>114</v>
      </c>
      <c r="C21" s="105"/>
      <c r="D21" s="173" t="s">
        <v>115</v>
      </c>
      <c r="E21" s="46"/>
      <c r="F21" s="46"/>
      <c r="G21" s="46">
        <f>G22+G23</f>
        <v>0</v>
      </c>
      <c r="H21" s="46">
        <f>H22+H23</f>
        <v>0</v>
      </c>
      <c r="I21" s="602" t="e">
        <f t="shared" si="0"/>
        <v>#DIV/0!</v>
      </c>
      <c r="J21" s="602" t="e">
        <f t="shared" si="1"/>
        <v>#DIV/0!</v>
      </c>
      <c r="K21" s="3"/>
      <c r="L21" s="3"/>
      <c r="M21" s="3"/>
      <c r="N21" s="3"/>
      <c r="O21" s="3"/>
      <c r="P21" s="3"/>
      <c r="Q21" s="3"/>
    </row>
    <row r="22" spans="1:17" s="12" customFormat="1" hidden="1" x14ac:dyDescent="0.25">
      <c r="A22" s="105"/>
      <c r="B22" s="48" t="s">
        <v>499</v>
      </c>
      <c r="C22" s="167"/>
      <c r="D22" s="174" t="s">
        <v>395</v>
      </c>
      <c r="E22" s="50"/>
      <c r="F22" s="50"/>
      <c r="G22" s="50">
        <f>'Rekapitulacija Posebni dio'!E407</f>
        <v>0</v>
      </c>
      <c r="H22" s="50">
        <f>'Rekapitulacija Posebni dio'!F407</f>
        <v>0</v>
      </c>
      <c r="I22" s="602" t="e">
        <f t="shared" si="0"/>
        <v>#DIV/0!</v>
      </c>
      <c r="J22" s="602" t="e">
        <f t="shared" si="1"/>
        <v>#DIV/0!</v>
      </c>
      <c r="K22" s="3"/>
      <c r="L22" s="3"/>
      <c r="M22" s="3"/>
      <c r="N22" s="3"/>
      <c r="O22" s="3"/>
      <c r="P22" s="3"/>
      <c r="Q22" s="3"/>
    </row>
    <row r="23" spans="1:17" s="12" customFormat="1" hidden="1" x14ac:dyDescent="0.25">
      <c r="A23" s="105"/>
      <c r="B23" s="48" t="s">
        <v>520</v>
      </c>
      <c r="C23" s="167"/>
      <c r="D23" s="174" t="s">
        <v>397</v>
      </c>
      <c r="E23" s="50"/>
      <c r="F23" s="50"/>
      <c r="G23" s="50">
        <f>'Rekapitulacija Posebni dio'!E408</f>
        <v>0</v>
      </c>
      <c r="H23" s="50">
        <f>'Rekapitulacija Posebni dio'!F408</f>
        <v>0</v>
      </c>
      <c r="I23" s="602" t="e">
        <f t="shared" si="0"/>
        <v>#DIV/0!</v>
      </c>
      <c r="J23" s="602" t="e">
        <f t="shared" si="1"/>
        <v>#DIV/0!</v>
      </c>
      <c r="K23" s="3"/>
      <c r="L23" s="3"/>
      <c r="M23" s="3"/>
      <c r="N23" s="3"/>
      <c r="O23" s="3"/>
      <c r="P23" s="3"/>
      <c r="Q23" s="3"/>
    </row>
    <row r="24" spans="1:17" s="12" customFormat="1" hidden="1" x14ac:dyDescent="0.25">
      <c r="A24" s="105"/>
      <c r="B24" s="43" t="s">
        <v>120</v>
      </c>
      <c r="C24" s="105"/>
      <c r="D24" s="173" t="s">
        <v>121</v>
      </c>
      <c r="E24" s="46"/>
      <c r="F24" s="46"/>
      <c r="G24" s="46">
        <f>G25</f>
        <v>0</v>
      </c>
      <c r="H24" s="46">
        <f>H25</f>
        <v>0</v>
      </c>
      <c r="I24" s="602" t="e">
        <f t="shared" si="0"/>
        <v>#DIV/0!</v>
      </c>
      <c r="J24" s="602" t="e">
        <f t="shared" si="1"/>
        <v>#DIV/0!</v>
      </c>
      <c r="K24" s="3"/>
      <c r="L24" s="3"/>
      <c r="M24" s="3"/>
      <c r="N24" s="3"/>
      <c r="O24" s="3"/>
      <c r="P24" s="3"/>
      <c r="Q24" s="3"/>
    </row>
    <row r="25" spans="1:17" s="12" customFormat="1" hidden="1" x14ac:dyDescent="0.25">
      <c r="A25" s="105"/>
      <c r="B25" s="48" t="s">
        <v>524</v>
      </c>
      <c r="C25" s="167"/>
      <c r="D25" s="174" t="s">
        <v>595</v>
      </c>
      <c r="E25" s="50"/>
      <c r="F25" s="50"/>
      <c r="G25" s="50">
        <f>'Rekapitulacija Posebni dio'!E448</f>
        <v>0</v>
      </c>
      <c r="H25" s="50">
        <f>'Rekapitulacija Posebni dio'!F448</f>
        <v>0</v>
      </c>
      <c r="I25" s="602" t="e">
        <f t="shared" si="0"/>
        <v>#DIV/0!</v>
      </c>
      <c r="J25" s="602" t="e">
        <f t="shared" si="1"/>
        <v>#DIV/0!</v>
      </c>
      <c r="K25" s="3"/>
      <c r="L25" s="3"/>
      <c r="M25" s="3"/>
      <c r="N25" s="3"/>
      <c r="O25" s="3"/>
      <c r="P25" s="3"/>
      <c r="Q25" s="3"/>
    </row>
    <row r="26" spans="1:17" s="68" customFormat="1" x14ac:dyDescent="0.25">
      <c r="A26" s="148"/>
      <c r="B26" s="149" t="s">
        <v>126</v>
      </c>
      <c r="C26" s="148"/>
      <c r="D26" s="158" t="s">
        <v>127</v>
      </c>
      <c r="E26" s="93">
        <f>E29+E35</f>
        <v>49059.35</v>
      </c>
      <c r="F26" s="93">
        <f>F29+F35</f>
        <v>96660</v>
      </c>
      <c r="G26" s="93">
        <f>G29+G33+G35</f>
        <v>95286</v>
      </c>
      <c r="H26" s="93">
        <f>H27+H29+H33+H35</f>
        <v>33086.949999999997</v>
      </c>
      <c r="I26" s="602">
        <f t="shared" si="0"/>
        <v>34.230240016552862</v>
      </c>
      <c r="J26" s="602">
        <f t="shared" si="1"/>
        <v>34.723831412799363</v>
      </c>
      <c r="K26" s="67"/>
      <c r="L26" s="67"/>
      <c r="M26" s="67"/>
      <c r="N26" s="67"/>
      <c r="O26" s="67"/>
      <c r="P26" s="67"/>
      <c r="Q26" s="67"/>
    </row>
    <row r="27" spans="1:17" s="68" customFormat="1" x14ac:dyDescent="0.25">
      <c r="A27" s="148"/>
      <c r="B27" s="463" t="s">
        <v>128</v>
      </c>
      <c r="C27" s="148"/>
      <c r="D27" s="466" t="s">
        <v>129</v>
      </c>
      <c r="E27" s="93"/>
      <c r="F27" s="93"/>
      <c r="G27" s="93">
        <f>G28</f>
        <v>0</v>
      </c>
      <c r="H27" s="93">
        <f>H28</f>
        <v>1553.66</v>
      </c>
      <c r="I27" s="602" t="e">
        <f t="shared" si="0"/>
        <v>#DIV/0!</v>
      </c>
      <c r="J27" s="602" t="e">
        <f t="shared" si="1"/>
        <v>#DIV/0!</v>
      </c>
      <c r="K27" s="67"/>
      <c r="L27" s="67"/>
      <c r="M27" s="67"/>
      <c r="N27" s="67"/>
      <c r="O27" s="67"/>
      <c r="P27" s="67"/>
      <c r="Q27" s="67"/>
    </row>
    <row r="28" spans="1:17" s="68" customFormat="1" x14ac:dyDescent="0.25">
      <c r="A28" s="148"/>
      <c r="B28" s="468" t="s">
        <v>488</v>
      </c>
      <c r="C28" s="148"/>
      <c r="D28" s="476" t="s">
        <v>411</v>
      </c>
      <c r="E28" s="93"/>
      <c r="F28" s="93"/>
      <c r="G28" s="145">
        <f>'Rekapitulacija Posebni dio'!E417</f>
        <v>0</v>
      </c>
      <c r="H28" s="145">
        <f>'Rekapitulacija Posebni dio'!F417</f>
        <v>1553.66</v>
      </c>
      <c r="I28" s="602" t="e">
        <f t="shared" si="0"/>
        <v>#DIV/0!</v>
      </c>
      <c r="J28" s="602" t="e">
        <f t="shared" si="1"/>
        <v>#DIV/0!</v>
      </c>
      <c r="K28" s="67"/>
      <c r="L28" s="67"/>
      <c r="M28" s="67"/>
      <c r="N28" s="67"/>
      <c r="O28" s="67"/>
      <c r="P28" s="67"/>
      <c r="Q28" s="67"/>
    </row>
    <row r="29" spans="1:17" s="68" customFormat="1" x14ac:dyDescent="0.25">
      <c r="A29" s="148"/>
      <c r="B29" s="149" t="s">
        <v>130</v>
      </c>
      <c r="C29" s="148"/>
      <c r="D29" s="158" t="s">
        <v>131</v>
      </c>
      <c r="E29" s="93">
        <f>SUM(E30:E32)</f>
        <v>31610.359999999997</v>
      </c>
      <c r="F29" s="93">
        <f>SUM(F30:F32)</f>
        <v>64440</v>
      </c>
      <c r="G29" s="93">
        <f>SUM(G30:G32)</f>
        <v>55286</v>
      </c>
      <c r="H29" s="93">
        <f>SUM(H30:H32)</f>
        <v>12192.03</v>
      </c>
      <c r="I29" s="602">
        <f t="shared" si="0"/>
        <v>18.919972067039108</v>
      </c>
      <c r="J29" s="602">
        <f t="shared" si="1"/>
        <v>22.052653474659049</v>
      </c>
      <c r="K29" s="67"/>
      <c r="L29" s="67"/>
      <c r="M29" s="67"/>
      <c r="N29" s="67"/>
      <c r="O29" s="67"/>
      <c r="P29" s="67"/>
      <c r="Q29" s="67"/>
    </row>
    <row r="30" spans="1:17" s="52" customFormat="1" ht="15" customHeight="1" x14ac:dyDescent="0.25">
      <c r="A30" s="167"/>
      <c r="B30" s="48" t="s">
        <v>512</v>
      </c>
      <c r="C30" s="167"/>
      <c r="D30" s="406" t="s">
        <v>414</v>
      </c>
      <c r="E30" s="50">
        <f>'Rekapitulacija Posebni dio'!C451</f>
        <v>8274.89</v>
      </c>
      <c r="F30" s="50">
        <f>'Rekapitulacija Posebni dio'!D451</f>
        <v>16110</v>
      </c>
      <c r="G30" s="50">
        <f>'Rekapitulacija Posebni dio'!E451</f>
        <v>20000</v>
      </c>
      <c r="H30" s="50">
        <f>'Rekapitulacija Posebni dio'!F451</f>
        <v>3395.31</v>
      </c>
      <c r="I30" s="602">
        <f t="shared" si="0"/>
        <v>21.07579143389199</v>
      </c>
      <c r="J30" s="602">
        <f t="shared" si="1"/>
        <v>16.97655</v>
      </c>
      <c r="K30" s="51"/>
      <c r="L30" s="51"/>
      <c r="M30" s="51"/>
      <c r="N30" s="51"/>
      <c r="O30" s="51"/>
      <c r="P30" s="51"/>
      <c r="Q30" s="51"/>
    </row>
    <row r="31" spans="1:17" s="52" customFormat="1" ht="15" customHeight="1" x14ac:dyDescent="0.25">
      <c r="A31" s="167"/>
      <c r="B31" s="48" t="s">
        <v>513</v>
      </c>
      <c r="C31" s="167"/>
      <c r="D31" s="406" t="s">
        <v>415</v>
      </c>
      <c r="E31" s="50">
        <f>'Rekapitulacija Posebni dio'!C452</f>
        <v>4687.71</v>
      </c>
      <c r="F31" s="50">
        <f>'Rekapitulacija Posebni dio'!D452</f>
        <v>16110</v>
      </c>
      <c r="G31" s="50">
        <f>'Rekapitulacija Posebni dio'!E452</f>
        <v>10000</v>
      </c>
      <c r="H31" s="50">
        <f>'Rekapitulacija Posebni dio'!F452</f>
        <v>2948.21</v>
      </c>
      <c r="I31" s="602">
        <f t="shared" si="0"/>
        <v>18.300496585971445</v>
      </c>
      <c r="J31" s="602">
        <f t="shared" si="1"/>
        <v>29.482099999999999</v>
      </c>
      <c r="K31" s="51"/>
      <c r="L31" s="51"/>
      <c r="M31" s="51"/>
      <c r="N31" s="51"/>
      <c r="O31" s="51"/>
      <c r="P31" s="51"/>
      <c r="Q31" s="51"/>
    </row>
    <row r="32" spans="1:17" s="52" customFormat="1" ht="15" customHeight="1" x14ac:dyDescent="0.25">
      <c r="A32" s="167"/>
      <c r="B32" s="48" t="s">
        <v>514</v>
      </c>
      <c r="C32" s="167"/>
      <c r="D32" s="406" t="s">
        <v>413</v>
      </c>
      <c r="E32" s="50">
        <f>'Rekapitulacija Posebni dio'!C453</f>
        <v>18647.759999999998</v>
      </c>
      <c r="F32" s="50">
        <f>'Rekapitulacija Posebni dio'!D453</f>
        <v>32220</v>
      </c>
      <c r="G32" s="50">
        <f>'Rekapitulacija Posebni dio'!E453</f>
        <v>25286</v>
      </c>
      <c r="H32" s="50">
        <f>'Rekapitulacija Posebni dio'!F453</f>
        <v>5848.51</v>
      </c>
      <c r="I32" s="602">
        <f t="shared" si="0"/>
        <v>18.151800124146494</v>
      </c>
      <c r="J32" s="602">
        <f t="shared" si="1"/>
        <v>23.129439215376099</v>
      </c>
      <c r="K32" s="51"/>
      <c r="L32" s="51"/>
      <c r="M32" s="51"/>
      <c r="N32" s="51"/>
      <c r="O32" s="51"/>
      <c r="P32" s="51"/>
      <c r="Q32" s="51"/>
    </row>
    <row r="33" spans="1:17" s="52" customFormat="1" ht="15" hidden="1" customHeight="1" x14ac:dyDescent="0.25">
      <c r="A33" s="167"/>
      <c r="B33" s="185">
        <v>3236</v>
      </c>
      <c r="C33" s="61"/>
      <c r="D33" s="533" t="s">
        <v>137</v>
      </c>
      <c r="E33" s="93"/>
      <c r="F33" s="93"/>
      <c r="G33" s="93">
        <f>G34</f>
        <v>0</v>
      </c>
      <c r="H33" s="93">
        <f>H34</f>
        <v>0</v>
      </c>
      <c r="I33" s="602" t="e">
        <f t="shared" si="0"/>
        <v>#DIV/0!</v>
      </c>
      <c r="J33" s="602" t="e">
        <f t="shared" si="1"/>
        <v>#DIV/0!</v>
      </c>
      <c r="K33" s="51"/>
      <c r="L33" s="51"/>
      <c r="M33" s="51"/>
      <c r="N33" s="51"/>
      <c r="O33" s="51"/>
      <c r="P33" s="51"/>
      <c r="Q33" s="51"/>
    </row>
    <row r="34" spans="1:17" s="52" customFormat="1" ht="15" hidden="1" customHeight="1" x14ac:dyDescent="0.25">
      <c r="A34" s="167"/>
      <c r="B34" s="82">
        <v>32369</v>
      </c>
      <c r="C34" s="21"/>
      <c r="D34" s="159" t="s">
        <v>137</v>
      </c>
      <c r="E34" s="50"/>
      <c r="F34" s="50"/>
      <c r="G34" s="50">
        <f>'Rekapitulacija Posebni dio'!E419</f>
        <v>0</v>
      </c>
      <c r="H34" s="50">
        <f>'Rekapitulacija Posebni dio'!F419</f>
        <v>0</v>
      </c>
      <c r="I34" s="602" t="e">
        <f t="shared" si="0"/>
        <v>#DIV/0!</v>
      </c>
      <c r="J34" s="602" t="e">
        <f t="shared" si="1"/>
        <v>#DIV/0!</v>
      </c>
      <c r="K34" s="51"/>
      <c r="L34" s="51"/>
      <c r="M34" s="51"/>
      <c r="N34" s="51"/>
      <c r="O34" s="51"/>
      <c r="P34" s="51"/>
      <c r="Q34" s="51"/>
    </row>
    <row r="35" spans="1:17" s="52" customFormat="1" ht="15" customHeight="1" x14ac:dyDescent="0.25">
      <c r="A35" s="167"/>
      <c r="B35" s="185">
        <v>3238</v>
      </c>
      <c r="C35" s="61"/>
      <c r="D35" s="533" t="s">
        <v>140</v>
      </c>
      <c r="E35" s="93">
        <f>SUM(E36)</f>
        <v>17448.990000000002</v>
      </c>
      <c r="F35" s="93">
        <f>SUM(F36)</f>
        <v>32220</v>
      </c>
      <c r="G35" s="93">
        <f t="shared" ref="G35:H35" si="7">SUM(G36)</f>
        <v>40000</v>
      </c>
      <c r="H35" s="93">
        <f t="shared" si="7"/>
        <v>19341.259999999998</v>
      </c>
      <c r="I35" s="602">
        <f t="shared" si="0"/>
        <v>60.028739913097453</v>
      </c>
      <c r="J35" s="602">
        <f t="shared" si="1"/>
        <v>48.353149999999992</v>
      </c>
      <c r="K35" s="51"/>
      <c r="L35" s="51"/>
      <c r="M35" s="51"/>
      <c r="N35" s="51"/>
      <c r="O35" s="51"/>
      <c r="P35" s="51"/>
      <c r="Q35" s="51"/>
    </row>
    <row r="36" spans="1:17" s="68" customFormat="1" x14ac:dyDescent="0.25">
      <c r="A36" s="148"/>
      <c r="B36" s="82">
        <v>32389</v>
      </c>
      <c r="C36" s="21"/>
      <c r="D36" s="159" t="s">
        <v>425</v>
      </c>
      <c r="E36" s="145">
        <f>'Rekapitulacija Posebni dio'!C457</f>
        <v>17448.990000000002</v>
      </c>
      <c r="F36" s="145">
        <f>'Rekapitulacija Posebni dio'!D457</f>
        <v>32220</v>
      </c>
      <c r="G36" s="145">
        <f>'Rekapitulacija Posebni dio'!E457</f>
        <v>40000</v>
      </c>
      <c r="H36" s="145">
        <f>'Rekapitulacija Posebni dio'!F457</f>
        <v>19341.259999999998</v>
      </c>
      <c r="I36" s="602">
        <f t="shared" si="0"/>
        <v>60.028739913097453</v>
      </c>
      <c r="J36" s="602">
        <f t="shared" si="1"/>
        <v>48.353149999999992</v>
      </c>
      <c r="K36" s="67"/>
      <c r="L36" s="67"/>
      <c r="M36" s="67"/>
      <c r="N36" s="67"/>
      <c r="O36" s="67"/>
      <c r="P36" s="67"/>
      <c r="Q36" s="67"/>
    </row>
    <row r="37" spans="1:17" s="68" customFormat="1" x14ac:dyDescent="0.25">
      <c r="A37" s="148"/>
      <c r="B37" s="463" t="s">
        <v>619</v>
      </c>
      <c r="C37" s="41"/>
      <c r="D37" s="466" t="s">
        <v>127</v>
      </c>
      <c r="E37" s="145"/>
      <c r="F37" s="145"/>
      <c r="G37" s="93">
        <f>G38</f>
        <v>0</v>
      </c>
      <c r="H37" s="93">
        <f>H38</f>
        <v>38446.339999999997</v>
      </c>
      <c r="I37" s="602" t="e">
        <f t="shared" si="0"/>
        <v>#DIV/0!</v>
      </c>
      <c r="J37" s="602" t="e">
        <f t="shared" si="1"/>
        <v>#DIV/0!</v>
      </c>
      <c r="K37" s="67"/>
      <c r="L37" s="67"/>
      <c r="M37" s="67"/>
      <c r="N37" s="67"/>
      <c r="O37" s="67"/>
      <c r="P37" s="67"/>
      <c r="Q37" s="67"/>
    </row>
    <row r="38" spans="1:17" s="68" customFormat="1" x14ac:dyDescent="0.25">
      <c r="A38" s="148"/>
      <c r="B38" s="463" t="s">
        <v>620</v>
      </c>
      <c r="C38" s="61"/>
      <c r="D38" s="466" t="s">
        <v>142</v>
      </c>
      <c r="E38" s="93"/>
      <c r="F38" s="93"/>
      <c r="G38" s="93">
        <f>G39+G40</f>
        <v>0</v>
      </c>
      <c r="H38" s="93">
        <f>H39+H40</f>
        <v>38446.339999999997</v>
      </c>
      <c r="I38" s="602" t="e">
        <f t="shared" si="0"/>
        <v>#DIV/0!</v>
      </c>
      <c r="J38" s="602" t="e">
        <f t="shared" si="1"/>
        <v>#DIV/0!</v>
      </c>
      <c r="K38" s="67"/>
      <c r="L38" s="67"/>
      <c r="M38" s="67"/>
      <c r="N38" s="67"/>
      <c r="O38" s="67"/>
      <c r="P38" s="67"/>
      <c r="Q38" s="67"/>
    </row>
    <row r="39" spans="1:17" s="68" customFormat="1" x14ac:dyDescent="0.25">
      <c r="A39" s="148"/>
      <c r="B39" s="425" t="s">
        <v>621</v>
      </c>
      <c r="C39" s="61"/>
      <c r="D39" s="426" t="s">
        <v>623</v>
      </c>
      <c r="E39" s="145"/>
      <c r="F39" s="145"/>
      <c r="G39" s="145">
        <f>'Rekapitulacija Posebni dio'!E427</f>
        <v>0</v>
      </c>
      <c r="H39" s="145">
        <f>'Rekapitulacija Posebni dio'!F427</f>
        <v>0</v>
      </c>
      <c r="I39" s="602" t="e">
        <f t="shared" si="0"/>
        <v>#DIV/0!</v>
      </c>
      <c r="J39" s="602" t="e">
        <f t="shared" si="1"/>
        <v>#DIV/0!</v>
      </c>
      <c r="K39" s="67"/>
      <c r="L39" s="67"/>
      <c r="M39" s="67"/>
      <c r="N39" s="67"/>
      <c r="O39" s="67"/>
      <c r="P39" s="67"/>
      <c r="Q39" s="67"/>
    </row>
    <row r="40" spans="1:17" s="68" customFormat="1" x14ac:dyDescent="0.25">
      <c r="A40" s="148"/>
      <c r="B40" s="425" t="s">
        <v>622</v>
      </c>
      <c r="C40" s="61"/>
      <c r="D40" s="426" t="s">
        <v>624</v>
      </c>
      <c r="E40" s="93"/>
      <c r="F40" s="93"/>
      <c r="G40" s="145">
        <f>'Rekapitulacija Posebni dio'!E428</f>
        <v>0</v>
      </c>
      <c r="H40" s="145">
        <f>'Rekapitulacija Posebni dio'!F428</f>
        <v>38446.339999999997</v>
      </c>
      <c r="I40" s="602" t="e">
        <f t="shared" si="0"/>
        <v>#DIV/0!</v>
      </c>
      <c r="J40" s="602" t="e">
        <f t="shared" si="1"/>
        <v>#DIV/0!</v>
      </c>
      <c r="K40" s="67"/>
      <c r="L40" s="67"/>
      <c r="M40" s="67"/>
      <c r="N40" s="67"/>
      <c r="O40" s="67"/>
      <c r="P40" s="67"/>
      <c r="Q40" s="67"/>
    </row>
    <row r="41" spans="1:17" s="68" customFormat="1" x14ac:dyDescent="0.25">
      <c r="A41" s="220">
        <v>4</v>
      </c>
      <c r="B41" s="391"/>
      <c r="C41" s="116"/>
      <c r="D41" s="387" t="s">
        <v>174</v>
      </c>
      <c r="E41" s="119">
        <f>E42+E53</f>
        <v>76246.26999999999</v>
      </c>
      <c r="F41" s="119">
        <f>F42+F53</f>
        <v>265723.70999999996</v>
      </c>
      <c r="G41" s="119">
        <f>G42+G53</f>
        <v>209000</v>
      </c>
      <c r="H41" s="119">
        <f t="shared" ref="H41" si="8">H42+H53</f>
        <v>0</v>
      </c>
      <c r="I41" s="600">
        <f t="shared" si="0"/>
        <v>0</v>
      </c>
      <c r="J41" s="600">
        <f t="shared" si="1"/>
        <v>0</v>
      </c>
      <c r="K41" s="67"/>
      <c r="L41" s="67"/>
      <c r="M41" s="67"/>
      <c r="N41" s="67"/>
      <c r="O41" s="67"/>
      <c r="P41" s="67"/>
      <c r="Q41" s="67"/>
    </row>
    <row r="42" spans="1:17" s="12" customFormat="1" x14ac:dyDescent="0.25">
      <c r="A42" s="143"/>
      <c r="B42" s="22">
        <v>42</v>
      </c>
      <c r="C42" s="141"/>
      <c r="D42" s="142" t="s">
        <v>183</v>
      </c>
      <c r="E42" s="92">
        <f>SUM(E43)</f>
        <v>66332.399999999994</v>
      </c>
      <c r="F42" s="92">
        <f>SUM(F43)</f>
        <v>135136.04999999999</v>
      </c>
      <c r="G42" s="92">
        <f>SUM(G43)</f>
        <v>178000</v>
      </c>
      <c r="H42" s="92">
        <f t="shared" ref="H42" si="9">SUM(H43)</f>
        <v>0</v>
      </c>
      <c r="I42" s="606">
        <f t="shared" si="0"/>
        <v>0</v>
      </c>
      <c r="J42" s="606">
        <f t="shared" si="1"/>
        <v>0</v>
      </c>
      <c r="K42" s="3"/>
      <c r="L42" s="3"/>
      <c r="M42" s="3"/>
      <c r="N42" s="3"/>
      <c r="O42" s="3"/>
      <c r="P42" s="3"/>
      <c r="Q42" s="3"/>
    </row>
    <row r="43" spans="1:17" s="12" customFormat="1" x14ac:dyDescent="0.25">
      <c r="A43" s="143"/>
      <c r="B43" s="43">
        <v>422</v>
      </c>
      <c r="C43" s="143"/>
      <c r="D43" s="105" t="s">
        <v>184</v>
      </c>
      <c r="E43" s="93">
        <f>E44+E47+E49+E51</f>
        <v>66332.399999999994</v>
      </c>
      <c r="F43" s="93">
        <f>F44+F47+F49+F51</f>
        <v>135136.04999999999</v>
      </c>
      <c r="G43" s="93">
        <f>G44+G47+G49+G51</f>
        <v>178000</v>
      </c>
      <c r="H43" s="93">
        <f>H44+H47+H49+H51</f>
        <v>0</v>
      </c>
      <c r="I43" s="602">
        <f t="shared" si="0"/>
        <v>0</v>
      </c>
      <c r="J43" s="602">
        <f t="shared" si="1"/>
        <v>0</v>
      </c>
      <c r="K43" s="3"/>
      <c r="L43" s="3"/>
      <c r="M43" s="3"/>
      <c r="N43" s="3"/>
      <c r="O43" s="3"/>
      <c r="P43" s="3"/>
      <c r="Q43" s="3"/>
    </row>
    <row r="44" spans="1:17" s="12" customFormat="1" x14ac:dyDescent="0.25">
      <c r="A44" s="143"/>
      <c r="B44" s="149" t="s">
        <v>185</v>
      </c>
      <c r="C44" s="148"/>
      <c r="D44" s="148" t="s">
        <v>186</v>
      </c>
      <c r="E44" s="93">
        <f>SUM(E45:E46)</f>
        <v>0</v>
      </c>
      <c r="F44" s="93">
        <f>SUM(F45:F46)</f>
        <v>27345.38</v>
      </c>
      <c r="G44" s="93">
        <f>SUM(G45:G46)</f>
        <v>6000</v>
      </c>
      <c r="H44" s="93">
        <f t="shared" ref="H44" si="10">SUM(H45:H46)</f>
        <v>0</v>
      </c>
      <c r="I44" s="602">
        <f t="shared" si="0"/>
        <v>0</v>
      </c>
      <c r="J44" s="602">
        <f t="shared" si="1"/>
        <v>0</v>
      </c>
      <c r="K44" s="3"/>
      <c r="L44" s="3"/>
      <c r="M44" s="3"/>
      <c r="N44" s="3"/>
      <c r="O44" s="3"/>
      <c r="P44" s="3"/>
      <c r="Q44" s="3"/>
    </row>
    <row r="45" spans="1:17" s="12" customFormat="1" x14ac:dyDescent="0.25">
      <c r="A45" s="143"/>
      <c r="B45" s="144" t="s">
        <v>515</v>
      </c>
      <c r="C45" s="143"/>
      <c r="D45" s="143" t="s">
        <v>445</v>
      </c>
      <c r="E45" s="50">
        <f>'Rekapitulacija Posebni dio'!C462</f>
        <v>0</v>
      </c>
      <c r="F45" s="50">
        <f>'Rekapitulacija Posebni dio'!D462</f>
        <v>5865.38</v>
      </c>
      <c r="G45" s="50">
        <f>'Rekapitulacija Posebni dio'!E462</f>
        <v>5000</v>
      </c>
      <c r="H45" s="50">
        <f>'Rekapitulacija Posebni dio'!F462</f>
        <v>0</v>
      </c>
      <c r="I45" s="602">
        <f t="shared" si="0"/>
        <v>0</v>
      </c>
      <c r="J45" s="602">
        <f t="shared" si="1"/>
        <v>0</v>
      </c>
      <c r="K45" s="3"/>
      <c r="L45" s="3"/>
      <c r="M45" s="3"/>
      <c r="N45" s="3"/>
      <c r="O45" s="3"/>
      <c r="P45" s="3"/>
      <c r="Q45" s="3"/>
    </row>
    <row r="46" spans="1:17" s="12" customFormat="1" x14ac:dyDescent="0.25">
      <c r="A46" s="143"/>
      <c r="B46" s="144" t="s">
        <v>509</v>
      </c>
      <c r="C46" s="143"/>
      <c r="D46" s="143" t="s">
        <v>446</v>
      </c>
      <c r="E46" s="145">
        <f>'Rekapitulacija Posebni dio'!C463</f>
        <v>0</v>
      </c>
      <c r="F46" s="145">
        <f>'Rekapitulacija Posebni dio'!D463</f>
        <v>21480</v>
      </c>
      <c r="G46" s="145">
        <f>'Rekapitulacija Posebni dio'!E463</f>
        <v>1000</v>
      </c>
      <c r="H46" s="145">
        <f>'Rekapitulacija Posebni dio'!F463</f>
        <v>0</v>
      </c>
      <c r="I46" s="602">
        <f t="shared" si="0"/>
        <v>0</v>
      </c>
      <c r="J46" s="602">
        <f t="shared" si="1"/>
        <v>0</v>
      </c>
      <c r="K46" s="3"/>
      <c r="L46" s="3"/>
      <c r="M46" s="3"/>
      <c r="N46" s="3"/>
      <c r="O46" s="3"/>
      <c r="P46" s="3"/>
      <c r="Q46" s="3"/>
    </row>
    <row r="47" spans="1:17" s="12" customFormat="1" x14ac:dyDescent="0.25">
      <c r="A47" s="143"/>
      <c r="B47" s="149" t="s">
        <v>228</v>
      </c>
      <c r="C47" s="143"/>
      <c r="D47" s="530" t="s">
        <v>189</v>
      </c>
      <c r="E47" s="93">
        <f>SUM(E48)</f>
        <v>1457.4</v>
      </c>
      <c r="F47" s="93">
        <f>SUM(F48)</f>
        <v>7518</v>
      </c>
      <c r="G47" s="93">
        <f>SUM(G48)</f>
        <v>3000</v>
      </c>
      <c r="H47" s="93">
        <f>SUM(H48)</f>
        <v>0</v>
      </c>
      <c r="I47" s="602">
        <f t="shared" si="0"/>
        <v>0</v>
      </c>
      <c r="J47" s="602">
        <f t="shared" si="1"/>
        <v>0</v>
      </c>
      <c r="K47" s="3"/>
      <c r="L47" s="3"/>
      <c r="M47" s="3"/>
      <c r="N47" s="3"/>
      <c r="O47" s="3"/>
      <c r="P47" s="3"/>
      <c r="Q47" s="3"/>
    </row>
    <row r="48" spans="1:17" s="12" customFormat="1" x14ac:dyDescent="0.25">
      <c r="A48" s="143"/>
      <c r="B48" s="144" t="s">
        <v>510</v>
      </c>
      <c r="C48" s="143"/>
      <c r="D48" s="475" t="s">
        <v>449</v>
      </c>
      <c r="E48" s="145">
        <f>'Rekapitulacija Posebni dio'!C465</f>
        <v>1457.4</v>
      </c>
      <c r="F48" s="145">
        <f>'Rekapitulacija Posebni dio'!D465</f>
        <v>7518</v>
      </c>
      <c r="G48" s="145">
        <f>'Rekapitulacija Posebni dio'!E465</f>
        <v>3000</v>
      </c>
      <c r="H48" s="145">
        <f>'Rekapitulacija Posebni dio'!F465</f>
        <v>0</v>
      </c>
      <c r="I48" s="602">
        <f t="shared" si="0"/>
        <v>0</v>
      </c>
      <c r="J48" s="602">
        <f t="shared" si="1"/>
        <v>0</v>
      </c>
      <c r="K48" s="3"/>
      <c r="L48" s="3"/>
      <c r="M48" s="3"/>
      <c r="N48" s="3"/>
      <c r="O48" s="3"/>
      <c r="P48" s="3"/>
      <c r="Q48" s="3"/>
    </row>
    <row r="49" spans="1:17" s="12" customFormat="1" x14ac:dyDescent="0.25">
      <c r="A49" s="143"/>
      <c r="B49" s="185">
        <v>4224</v>
      </c>
      <c r="C49" s="60"/>
      <c r="D49" s="186" t="s">
        <v>190</v>
      </c>
      <c r="E49" s="93">
        <f>SUM(E50)</f>
        <v>54875</v>
      </c>
      <c r="F49" s="93">
        <f>SUM(F50)</f>
        <v>62365.84</v>
      </c>
      <c r="G49" s="93">
        <f>SUM(G50)</f>
        <v>134000</v>
      </c>
      <c r="H49" s="93">
        <f t="shared" ref="H49" si="11">SUM(H50)</f>
        <v>0</v>
      </c>
      <c r="I49" s="602">
        <f t="shared" si="0"/>
        <v>0</v>
      </c>
      <c r="J49" s="602">
        <f t="shared" si="1"/>
        <v>0</v>
      </c>
      <c r="K49" s="3"/>
      <c r="L49" s="3"/>
      <c r="M49" s="3"/>
      <c r="N49" s="3"/>
      <c r="O49" s="3"/>
      <c r="P49" s="3"/>
      <c r="Q49" s="3"/>
    </row>
    <row r="50" spans="1:17" s="52" customFormat="1" x14ac:dyDescent="0.25">
      <c r="A50" s="98"/>
      <c r="B50" s="183">
        <v>42241</v>
      </c>
      <c r="C50" s="64"/>
      <c r="D50" s="184" t="s">
        <v>450</v>
      </c>
      <c r="E50" s="145">
        <f>'Rekapitulacija Posebni dio'!C467</f>
        <v>54875</v>
      </c>
      <c r="F50" s="145">
        <f>'Rekapitulacija Posebni dio'!D467</f>
        <v>62365.84</v>
      </c>
      <c r="G50" s="145">
        <f>'Rekapitulacija Posebni dio'!E467</f>
        <v>134000</v>
      </c>
      <c r="H50" s="145">
        <f>'Rekapitulacija Posebni dio'!F467</f>
        <v>0</v>
      </c>
      <c r="I50" s="602">
        <f t="shared" si="0"/>
        <v>0</v>
      </c>
      <c r="J50" s="602">
        <f t="shared" si="1"/>
        <v>0</v>
      </c>
      <c r="K50" s="51"/>
      <c r="L50" s="51"/>
      <c r="M50" s="51"/>
      <c r="N50" s="51"/>
      <c r="O50" s="51"/>
      <c r="P50" s="51"/>
      <c r="Q50" s="51"/>
    </row>
    <row r="51" spans="1:17" s="52" customFormat="1" x14ac:dyDescent="0.25">
      <c r="A51" s="98"/>
      <c r="B51" s="185">
        <v>4225</v>
      </c>
      <c r="C51" s="60"/>
      <c r="D51" s="186" t="s">
        <v>191</v>
      </c>
      <c r="E51" s="93">
        <f>SUM(E52)</f>
        <v>10000</v>
      </c>
      <c r="F51" s="93">
        <f>SUM(F52)</f>
        <v>37906.83</v>
      </c>
      <c r="G51" s="93">
        <f>SUM(G52)</f>
        <v>35000</v>
      </c>
      <c r="H51" s="93">
        <f t="shared" ref="H51" si="12">SUM(H52)</f>
        <v>0</v>
      </c>
      <c r="I51" s="602">
        <f t="shared" si="0"/>
        <v>0</v>
      </c>
      <c r="J51" s="602">
        <f t="shared" si="1"/>
        <v>0</v>
      </c>
      <c r="K51" s="51"/>
      <c r="L51" s="51"/>
      <c r="M51" s="51"/>
      <c r="N51" s="51"/>
      <c r="O51" s="51"/>
      <c r="P51" s="51"/>
      <c r="Q51" s="51"/>
    </row>
    <row r="52" spans="1:17" s="52" customFormat="1" x14ac:dyDescent="0.25">
      <c r="A52" s="98"/>
      <c r="B52" s="183">
        <v>42259</v>
      </c>
      <c r="C52" s="64"/>
      <c r="D52" s="184" t="s">
        <v>191</v>
      </c>
      <c r="E52" s="145">
        <f>'Rekapitulacija Posebni dio'!C469</f>
        <v>10000</v>
      </c>
      <c r="F52" s="145">
        <f>'Rekapitulacija Posebni dio'!D469</f>
        <v>37906.83</v>
      </c>
      <c r="G52" s="145">
        <f>'Rekapitulacija Posebni dio'!E469</f>
        <v>35000</v>
      </c>
      <c r="H52" s="145">
        <f>'Rekapitulacija Posebni dio'!F469</f>
        <v>0</v>
      </c>
      <c r="I52" s="602">
        <f t="shared" si="0"/>
        <v>0</v>
      </c>
      <c r="J52" s="602">
        <f t="shared" si="1"/>
        <v>0</v>
      </c>
      <c r="K52" s="51"/>
      <c r="L52" s="51"/>
      <c r="M52" s="51"/>
      <c r="N52" s="51"/>
      <c r="O52" s="51"/>
      <c r="P52" s="51"/>
      <c r="Q52" s="51"/>
    </row>
    <row r="53" spans="1:17" s="52" customFormat="1" x14ac:dyDescent="0.25">
      <c r="A53" s="98"/>
      <c r="B53" s="22" t="s">
        <v>196</v>
      </c>
      <c r="C53" s="141"/>
      <c r="D53" s="179" t="s">
        <v>197</v>
      </c>
      <c r="E53" s="92">
        <f>E54</f>
        <v>9913.8700000000008</v>
      </c>
      <c r="F53" s="92">
        <f>F54</f>
        <v>130587.66</v>
      </c>
      <c r="G53" s="92">
        <f>G54</f>
        <v>31000</v>
      </c>
      <c r="H53" s="92">
        <f t="shared" ref="H53" si="13">H54</f>
        <v>0</v>
      </c>
      <c r="I53" s="606">
        <f t="shared" si="0"/>
        <v>0</v>
      </c>
      <c r="J53" s="606">
        <f t="shared" si="1"/>
        <v>0</v>
      </c>
      <c r="K53" s="51"/>
      <c r="L53" s="51"/>
      <c r="M53" s="51"/>
      <c r="N53" s="51"/>
      <c r="O53" s="51"/>
      <c r="P53" s="51"/>
      <c r="Q53" s="51"/>
    </row>
    <row r="54" spans="1:17" s="52" customFormat="1" x14ac:dyDescent="0.25">
      <c r="A54" s="98"/>
      <c r="B54" s="43" t="s">
        <v>198</v>
      </c>
      <c r="C54" s="143"/>
      <c r="D54" s="105" t="s">
        <v>199</v>
      </c>
      <c r="E54" s="93">
        <f t="shared" ref="E54:G55" si="14">SUM(E55)</f>
        <v>9913.8700000000008</v>
      </c>
      <c r="F54" s="93">
        <f t="shared" si="14"/>
        <v>130587.66</v>
      </c>
      <c r="G54" s="93">
        <f t="shared" si="14"/>
        <v>31000</v>
      </c>
      <c r="H54" s="93">
        <f t="shared" ref="H54:H55" si="15">SUM(H55)</f>
        <v>0</v>
      </c>
      <c r="I54" s="602">
        <f t="shared" si="0"/>
        <v>0</v>
      </c>
      <c r="J54" s="602">
        <f t="shared" si="1"/>
        <v>0</v>
      </c>
      <c r="K54" s="51"/>
      <c r="L54" s="51"/>
      <c r="M54" s="51"/>
      <c r="N54" s="51"/>
      <c r="O54" s="51"/>
      <c r="P54" s="51"/>
      <c r="Q54" s="51"/>
    </row>
    <row r="55" spans="1:17" s="52" customFormat="1" x14ac:dyDescent="0.25">
      <c r="A55" s="98"/>
      <c r="B55" s="48" t="s">
        <v>200</v>
      </c>
      <c r="C55" s="167"/>
      <c r="D55" s="167" t="s">
        <v>199</v>
      </c>
      <c r="E55" s="93">
        <f t="shared" si="14"/>
        <v>9913.8700000000008</v>
      </c>
      <c r="F55" s="93">
        <f t="shared" si="14"/>
        <v>130587.66</v>
      </c>
      <c r="G55" s="93">
        <f t="shared" si="14"/>
        <v>31000</v>
      </c>
      <c r="H55" s="93">
        <f t="shared" si="15"/>
        <v>0</v>
      </c>
      <c r="I55" s="602">
        <f t="shared" si="0"/>
        <v>0</v>
      </c>
      <c r="J55" s="602">
        <f t="shared" si="1"/>
        <v>0</v>
      </c>
      <c r="K55" s="51"/>
      <c r="L55" s="51"/>
      <c r="M55" s="51"/>
      <c r="N55" s="51"/>
      <c r="O55" s="51"/>
      <c r="P55" s="51"/>
      <c r="Q55" s="51"/>
    </row>
    <row r="56" spans="1:17" s="52" customFormat="1" x14ac:dyDescent="0.25">
      <c r="A56" s="98"/>
      <c r="B56" s="48" t="s">
        <v>496</v>
      </c>
      <c r="C56" s="167"/>
      <c r="D56" s="167" t="s">
        <v>199</v>
      </c>
      <c r="E56" s="50">
        <f>'Rekapitulacija Posebni dio'!C473</f>
        <v>9913.8700000000008</v>
      </c>
      <c r="F56" s="50">
        <f>'Rekapitulacija Posebni dio'!D473</f>
        <v>130587.66</v>
      </c>
      <c r="G56" s="50">
        <f>'Rekapitulacija Posebni dio'!E473</f>
        <v>31000</v>
      </c>
      <c r="H56" s="50">
        <f>'Rekapitulacija Posebni dio'!F473</f>
        <v>0</v>
      </c>
      <c r="I56" s="602">
        <f t="shared" si="0"/>
        <v>0</v>
      </c>
      <c r="J56" s="602">
        <f t="shared" si="1"/>
        <v>0</v>
      </c>
      <c r="K56" s="51"/>
      <c r="L56" s="51"/>
      <c r="M56" s="51"/>
      <c r="N56" s="51"/>
      <c r="O56" s="51"/>
      <c r="P56" s="51"/>
      <c r="Q56" s="51"/>
    </row>
    <row r="57" spans="1:17" s="12" customFormat="1" x14ac:dyDescent="0.25">
      <c r="A57" s="384"/>
      <c r="B57" s="384"/>
      <c r="C57" s="383">
        <v>11</v>
      </c>
      <c r="D57" s="392" t="s">
        <v>15</v>
      </c>
      <c r="E57" s="385">
        <f>E11+E41</f>
        <v>130083.53999999998</v>
      </c>
      <c r="F57" s="385">
        <f>F11+F41</f>
        <v>369361.73</v>
      </c>
      <c r="G57" s="385">
        <f>G11+G41</f>
        <v>311264.02</v>
      </c>
      <c r="H57" s="385">
        <f>H11+H41</f>
        <v>116122.24999999999</v>
      </c>
      <c r="I57" s="600">
        <f t="shared" si="0"/>
        <v>31.438625219781159</v>
      </c>
      <c r="J57" s="600">
        <f t="shared" si="1"/>
        <v>37.306672965285223</v>
      </c>
      <c r="K57" s="386"/>
      <c r="L57" s="3"/>
      <c r="M57" s="3"/>
      <c r="N57" s="3"/>
      <c r="O57" s="3"/>
      <c r="P57" s="3"/>
      <c r="Q57" s="3"/>
    </row>
    <row r="58" spans="1:17" s="12" customFormat="1" x14ac:dyDescent="0.25">
      <c r="A58" s="137" t="s">
        <v>86</v>
      </c>
      <c r="B58" s="137"/>
      <c r="C58" s="138"/>
      <c r="D58" s="139" t="s">
        <v>87</v>
      </c>
      <c r="E58" s="140">
        <f>E59+E82+E178+E189+E193+E198</f>
        <v>2419806.3849999998</v>
      </c>
      <c r="F58" s="140">
        <f>F59+F82+F178+F189+F193+F198</f>
        <v>3883930.39</v>
      </c>
      <c r="G58" s="140">
        <f>G59+G82+G178+G189+G193+G198</f>
        <v>3770125.3000000003</v>
      </c>
      <c r="H58" s="140">
        <f t="shared" ref="H58" si="16">H59+H82+H178+H189+H193+H198</f>
        <v>2181986.1850000001</v>
      </c>
      <c r="I58" s="600">
        <f t="shared" si="0"/>
        <v>56.179847883422028</v>
      </c>
      <c r="J58" s="600">
        <f t="shared" si="1"/>
        <v>57.875694078390438</v>
      </c>
      <c r="K58" s="3"/>
      <c r="L58" s="3"/>
      <c r="M58" s="3"/>
      <c r="N58" s="3"/>
      <c r="O58" s="3"/>
      <c r="P58" s="3"/>
      <c r="Q58" s="3"/>
    </row>
    <row r="59" spans="1:17" s="12" customFormat="1" x14ac:dyDescent="0.25">
      <c r="A59" s="105"/>
      <c r="B59" s="22">
        <v>31</v>
      </c>
      <c r="C59" s="141"/>
      <c r="D59" s="142" t="s">
        <v>88</v>
      </c>
      <c r="E59" s="42">
        <f>E60+E69+E77</f>
        <v>2006367.09</v>
      </c>
      <c r="F59" s="42">
        <f>F60+F69+F77</f>
        <v>3042112.29</v>
      </c>
      <c r="G59" s="42">
        <f>G60+G69+G77</f>
        <v>3042112.29</v>
      </c>
      <c r="H59" s="42">
        <f t="shared" ref="H59" si="17">H60+H69+H77</f>
        <v>1886674.44</v>
      </c>
      <c r="I59" s="606">
        <f t="shared" si="0"/>
        <v>62.018566711092703</v>
      </c>
      <c r="J59" s="606">
        <f t="shared" si="1"/>
        <v>62.018566711092703</v>
      </c>
      <c r="K59" s="3"/>
      <c r="L59" s="3"/>
      <c r="M59" s="3"/>
      <c r="N59" s="3"/>
      <c r="O59" s="3"/>
      <c r="P59" s="3"/>
      <c r="Q59" s="3"/>
    </row>
    <row r="60" spans="1:17" s="20" customFormat="1" x14ac:dyDescent="0.25">
      <c r="A60" s="105"/>
      <c r="B60" s="43">
        <v>311</v>
      </c>
      <c r="C60" s="143"/>
      <c r="D60" s="105" t="s">
        <v>89</v>
      </c>
      <c r="E60" s="46">
        <f>E61+E65+E67</f>
        <v>1692619.54</v>
      </c>
      <c r="F60" s="46">
        <f>F61+F65+F67</f>
        <v>2505491.41</v>
      </c>
      <c r="G60" s="46">
        <f>G61+G65+G67</f>
        <v>2505491.41</v>
      </c>
      <c r="H60" s="46">
        <f t="shared" ref="H60" si="18">H61+H65+H67</f>
        <v>1630599.25</v>
      </c>
      <c r="I60" s="602">
        <f t="shared" si="0"/>
        <v>65.081015384522914</v>
      </c>
      <c r="J60" s="602">
        <f t="shared" si="1"/>
        <v>65.081015384522914</v>
      </c>
      <c r="K60" s="19"/>
      <c r="L60" s="19"/>
      <c r="M60" s="19"/>
      <c r="N60" s="19"/>
      <c r="O60" s="19"/>
      <c r="P60" s="19"/>
      <c r="Q60" s="19"/>
    </row>
    <row r="61" spans="1:17" s="20" customFormat="1" x14ac:dyDescent="0.25">
      <c r="A61" s="105"/>
      <c r="B61" s="43">
        <v>3111</v>
      </c>
      <c r="C61" s="143"/>
      <c r="D61" s="105" t="s">
        <v>90</v>
      </c>
      <c r="E61" s="46">
        <f>SUM(E62:E63)</f>
        <v>1607506.55</v>
      </c>
      <c r="F61" s="46">
        <f>SUM(F62:F63)</f>
        <v>2456383.9700000002</v>
      </c>
      <c r="G61" s="46">
        <f>SUM(G62:G63)</f>
        <v>2456383.9700000002</v>
      </c>
      <c r="H61" s="46">
        <f t="shared" ref="H61" si="19">SUM(H62:H63)</f>
        <v>1576823.25</v>
      </c>
      <c r="I61" s="602">
        <f t="shared" si="0"/>
        <v>64.192865173273375</v>
      </c>
      <c r="J61" s="602">
        <f t="shared" si="1"/>
        <v>64.192865173273375</v>
      </c>
      <c r="K61" s="19"/>
      <c r="L61" s="19"/>
      <c r="M61" s="19"/>
      <c r="N61" s="19"/>
      <c r="O61" s="19"/>
      <c r="P61" s="19"/>
      <c r="Q61" s="19"/>
    </row>
    <row r="62" spans="1:17" s="20" customFormat="1" x14ac:dyDescent="0.25">
      <c r="A62" s="105"/>
      <c r="B62" s="48" t="s">
        <v>466</v>
      </c>
      <c r="C62" s="143"/>
      <c r="D62" s="167" t="s">
        <v>90</v>
      </c>
      <c r="E62" s="50">
        <f>'Rekapitulacija Posebni dio'!C12</f>
        <v>1605790.56</v>
      </c>
      <c r="F62" s="50">
        <f>'Rekapitulacija Posebni dio'!D12</f>
        <v>2451383.9700000002</v>
      </c>
      <c r="G62" s="50">
        <f>'Rekapitulacija Posebni dio'!E12</f>
        <v>2451383.9700000002</v>
      </c>
      <c r="H62" s="50">
        <f>'Rekapitulacija Posebni dio'!F12</f>
        <v>1576823.25</v>
      </c>
      <c r="I62" s="602">
        <f t="shared" si="0"/>
        <v>64.32379705901397</v>
      </c>
      <c r="J62" s="602">
        <f t="shared" si="1"/>
        <v>64.32379705901397</v>
      </c>
      <c r="K62" s="19"/>
      <c r="L62" s="19"/>
      <c r="M62" s="19"/>
      <c r="N62" s="19"/>
      <c r="O62" s="19"/>
      <c r="P62" s="19"/>
      <c r="Q62" s="19"/>
    </row>
    <row r="63" spans="1:17" s="147" customFormat="1" x14ac:dyDescent="0.25">
      <c r="A63" s="143"/>
      <c r="B63" s="48" t="s">
        <v>467</v>
      </c>
      <c r="C63" s="143"/>
      <c r="D63" s="167" t="s">
        <v>381</v>
      </c>
      <c r="E63" s="145">
        <f>'Rekapitulacija Posebni dio'!C13</f>
        <v>1715.99</v>
      </c>
      <c r="F63" s="145">
        <f>'Rekapitulacija Posebni dio'!D13</f>
        <v>5000</v>
      </c>
      <c r="G63" s="145">
        <f>'Rekapitulacija Posebni dio'!E13</f>
        <v>5000</v>
      </c>
      <c r="H63" s="145">
        <f>'Rekapitulacija Posebni dio'!F13</f>
        <v>0</v>
      </c>
      <c r="I63" s="602">
        <f t="shared" si="0"/>
        <v>0</v>
      </c>
      <c r="J63" s="602">
        <f t="shared" si="1"/>
        <v>0</v>
      </c>
      <c r="K63" s="146"/>
      <c r="L63" s="146"/>
      <c r="M63" s="146"/>
      <c r="N63" s="146"/>
      <c r="O63" s="146"/>
      <c r="P63" s="146"/>
      <c r="Q63" s="146"/>
    </row>
    <row r="64" spans="1:17" s="147" customFormat="1" x14ac:dyDescent="0.25">
      <c r="A64" s="143"/>
      <c r="B64" s="149" t="s">
        <v>91</v>
      </c>
      <c r="C64" s="148"/>
      <c r="D64" s="148" t="s">
        <v>92</v>
      </c>
      <c r="E64" s="93"/>
      <c r="F64" s="93"/>
      <c r="G64" s="93"/>
      <c r="H64" s="93"/>
      <c r="I64" s="602" t="e">
        <f t="shared" si="0"/>
        <v>#DIV/0!</v>
      </c>
      <c r="J64" s="602" t="e">
        <f t="shared" si="1"/>
        <v>#DIV/0!</v>
      </c>
      <c r="K64" s="146"/>
      <c r="L64" s="146"/>
      <c r="M64" s="146"/>
      <c r="N64" s="146"/>
      <c r="O64" s="146"/>
      <c r="P64" s="146"/>
      <c r="Q64" s="146"/>
    </row>
    <row r="65" spans="1:17" s="147" customFormat="1" x14ac:dyDescent="0.25">
      <c r="A65" s="143"/>
      <c r="B65" s="149" t="s">
        <v>93</v>
      </c>
      <c r="C65" s="148"/>
      <c r="D65" s="148" t="s">
        <v>94</v>
      </c>
      <c r="E65" s="93">
        <f>SUM(E66)</f>
        <v>43363.13</v>
      </c>
      <c r="F65" s="93">
        <f>SUM(F66)</f>
        <v>49107.44</v>
      </c>
      <c r="G65" s="93">
        <f>SUM(G66)</f>
        <v>49107.44</v>
      </c>
      <c r="H65" s="93">
        <f t="shared" ref="H65" si="20">SUM(H66)</f>
        <v>53776</v>
      </c>
      <c r="I65" s="602">
        <f t="shared" si="0"/>
        <v>109.50682829322807</v>
      </c>
      <c r="J65" s="602">
        <f t="shared" si="1"/>
        <v>109.50682829322807</v>
      </c>
      <c r="K65" s="146"/>
      <c r="L65" s="146"/>
      <c r="M65" s="146"/>
      <c r="N65" s="146"/>
      <c r="O65" s="146"/>
      <c r="P65" s="146"/>
      <c r="Q65" s="146"/>
    </row>
    <row r="66" spans="1:17" s="147" customFormat="1" x14ac:dyDescent="0.25">
      <c r="A66" s="143"/>
      <c r="B66" s="144" t="s">
        <v>468</v>
      </c>
      <c r="C66" s="143"/>
      <c r="D66" s="143" t="s">
        <v>94</v>
      </c>
      <c r="E66" s="145">
        <f>'Rekapitulacija Posebni dio'!C16</f>
        <v>43363.13</v>
      </c>
      <c r="F66" s="145">
        <f>'Rekapitulacija Posebni dio'!D16</f>
        <v>49107.44</v>
      </c>
      <c r="G66" s="145">
        <f>'Rekapitulacija Posebni dio'!E16</f>
        <v>49107.44</v>
      </c>
      <c r="H66" s="145">
        <f>'Rekapitulacija Posebni dio'!F16</f>
        <v>53776</v>
      </c>
      <c r="I66" s="602">
        <f t="shared" si="0"/>
        <v>109.50682829322807</v>
      </c>
      <c r="J66" s="602">
        <f t="shared" si="1"/>
        <v>109.50682829322807</v>
      </c>
      <c r="K66" s="146"/>
      <c r="L66" s="146"/>
      <c r="M66" s="146"/>
      <c r="N66" s="146"/>
      <c r="O66" s="146"/>
      <c r="P66" s="146"/>
      <c r="Q66" s="146"/>
    </row>
    <row r="67" spans="1:17" s="147" customFormat="1" x14ac:dyDescent="0.25">
      <c r="A67" s="143"/>
      <c r="B67" s="149" t="s">
        <v>95</v>
      </c>
      <c r="C67" s="148"/>
      <c r="D67" s="148" t="s">
        <v>96</v>
      </c>
      <c r="E67" s="93">
        <f>SUM(E68)</f>
        <v>41749.86</v>
      </c>
      <c r="F67" s="93">
        <f>SUM(F68)</f>
        <v>0</v>
      </c>
      <c r="G67" s="93">
        <f>SUM(G68)</f>
        <v>0</v>
      </c>
      <c r="H67" s="93">
        <f t="shared" ref="H67" si="21">SUM(H68)</f>
        <v>0</v>
      </c>
      <c r="I67" s="602" t="e">
        <f t="shared" si="0"/>
        <v>#DIV/0!</v>
      </c>
      <c r="J67" s="602" t="e">
        <f t="shared" si="1"/>
        <v>#DIV/0!</v>
      </c>
      <c r="K67" s="146"/>
      <c r="L67" s="146"/>
      <c r="M67" s="146"/>
      <c r="N67" s="146"/>
      <c r="O67" s="146"/>
      <c r="P67" s="146"/>
      <c r="Q67" s="146"/>
    </row>
    <row r="68" spans="1:17" s="147" customFormat="1" x14ac:dyDescent="0.25">
      <c r="A68" s="143"/>
      <c r="B68" s="144" t="s">
        <v>469</v>
      </c>
      <c r="C68" s="143"/>
      <c r="D68" s="143" t="s">
        <v>96</v>
      </c>
      <c r="E68" s="145">
        <f>'Rekapitulacija Posebni dio'!C18</f>
        <v>41749.86</v>
      </c>
      <c r="F68" s="145">
        <f>'Rekapitulacija Posebni dio'!D18</f>
        <v>0</v>
      </c>
      <c r="G68" s="145">
        <f>'Rekapitulacija Posebni dio'!E18</f>
        <v>0</v>
      </c>
      <c r="H68" s="145">
        <f>'Rekapitulacija Posebni dio'!F18</f>
        <v>0</v>
      </c>
      <c r="I68" s="602" t="e">
        <f t="shared" si="0"/>
        <v>#DIV/0!</v>
      </c>
      <c r="J68" s="602" t="e">
        <f t="shared" si="1"/>
        <v>#DIV/0!</v>
      </c>
      <c r="K68" s="146"/>
      <c r="L68" s="146"/>
      <c r="M68" s="146"/>
      <c r="N68" s="146"/>
      <c r="O68" s="146"/>
      <c r="P68" s="146"/>
      <c r="Q68" s="146"/>
    </row>
    <row r="69" spans="1:17" s="151" customFormat="1" x14ac:dyDescent="0.25">
      <c r="A69" s="148"/>
      <c r="B69" s="149" t="s">
        <v>97</v>
      </c>
      <c r="C69" s="148"/>
      <c r="D69" s="148" t="s">
        <v>98</v>
      </c>
      <c r="E69" s="93">
        <f>SUM(E70)</f>
        <v>46531.28</v>
      </c>
      <c r="F69" s="93">
        <f>SUM(F70)</f>
        <v>123214.88</v>
      </c>
      <c r="G69" s="93">
        <f>SUM(G70)</f>
        <v>123214.88</v>
      </c>
      <c r="H69" s="93">
        <f t="shared" ref="H69" si="22">SUM(H70)</f>
        <v>26084.95</v>
      </c>
      <c r="I69" s="602">
        <f t="shared" si="0"/>
        <v>21.170292094591172</v>
      </c>
      <c r="J69" s="602">
        <f t="shared" si="1"/>
        <v>21.170292094591172</v>
      </c>
      <c r="K69" s="150"/>
      <c r="L69" s="150"/>
      <c r="M69" s="150"/>
      <c r="N69" s="150"/>
      <c r="O69" s="150"/>
      <c r="P69" s="150"/>
      <c r="Q69" s="150"/>
    </row>
    <row r="70" spans="1:17" s="151" customFormat="1" x14ac:dyDescent="0.25">
      <c r="A70" s="148"/>
      <c r="B70" s="149" t="s">
        <v>99</v>
      </c>
      <c r="C70" s="148"/>
      <c r="D70" s="148" t="s">
        <v>98</v>
      </c>
      <c r="E70" s="93">
        <f>SUM(E71:E76)</f>
        <v>46531.28</v>
      </c>
      <c r="F70" s="93">
        <f>SUM(F71:F76)</f>
        <v>123214.88</v>
      </c>
      <c r="G70" s="93">
        <f>SUM(G71:G76)</f>
        <v>123214.88</v>
      </c>
      <c r="H70" s="93">
        <f t="shared" ref="H70" si="23">SUM(H71:H76)</f>
        <v>26084.95</v>
      </c>
      <c r="I70" s="602">
        <f t="shared" si="0"/>
        <v>21.170292094591172</v>
      </c>
      <c r="J70" s="602">
        <f t="shared" si="1"/>
        <v>21.170292094591172</v>
      </c>
      <c r="K70" s="150"/>
      <c r="L70" s="150"/>
      <c r="M70" s="150"/>
      <c r="N70" s="150"/>
      <c r="O70" s="150"/>
      <c r="P70" s="150"/>
      <c r="Q70" s="150"/>
    </row>
    <row r="71" spans="1:17" s="151" customFormat="1" x14ac:dyDescent="0.25">
      <c r="A71" s="148"/>
      <c r="B71" s="48" t="s">
        <v>470</v>
      </c>
      <c r="C71" s="143"/>
      <c r="D71" s="476" t="s">
        <v>383</v>
      </c>
      <c r="E71" s="50">
        <f>'Rekapitulacija Posebni dio'!C21</f>
        <v>22279.33</v>
      </c>
      <c r="F71" s="50">
        <f>'Rekapitulacija Posebni dio'!D21</f>
        <v>13000</v>
      </c>
      <c r="G71" s="50">
        <f>'Rekapitulacija Posebni dio'!E21</f>
        <v>13000</v>
      </c>
      <c r="H71" s="50">
        <f>'Rekapitulacija Posebni dio'!F21</f>
        <v>10039.91</v>
      </c>
      <c r="I71" s="602">
        <f t="shared" si="0"/>
        <v>77.230076923076922</v>
      </c>
      <c r="J71" s="602">
        <f t="shared" si="1"/>
        <v>77.230076923076922</v>
      </c>
      <c r="K71" s="150"/>
      <c r="L71" s="150"/>
      <c r="M71" s="150"/>
      <c r="N71" s="150"/>
      <c r="O71" s="150"/>
      <c r="P71" s="150"/>
      <c r="Q71" s="150"/>
    </row>
    <row r="72" spans="1:17" s="151" customFormat="1" x14ac:dyDescent="0.25">
      <c r="A72" s="148"/>
      <c r="B72" s="48" t="s">
        <v>471</v>
      </c>
      <c r="C72" s="148"/>
      <c r="D72" s="476" t="s">
        <v>385</v>
      </c>
      <c r="E72" s="50">
        <f>'Rekapitulacija Posebni dio'!C22</f>
        <v>22436.17</v>
      </c>
      <c r="F72" s="50">
        <f>'Rekapitulacija Posebni dio'!D22</f>
        <v>25000</v>
      </c>
      <c r="G72" s="50">
        <f>'Rekapitulacija Posebni dio'!E22</f>
        <v>25000</v>
      </c>
      <c r="H72" s="50">
        <f>'Rekapitulacija Posebni dio'!F22</f>
        <v>13062.16</v>
      </c>
      <c r="I72" s="602">
        <f t="shared" si="0"/>
        <v>52.248640000000002</v>
      </c>
      <c r="J72" s="602">
        <f t="shared" si="1"/>
        <v>52.248640000000002</v>
      </c>
      <c r="K72" s="150"/>
      <c r="L72" s="150"/>
      <c r="M72" s="150"/>
      <c r="N72" s="150"/>
      <c r="O72" s="150"/>
      <c r="P72" s="150"/>
      <c r="Q72" s="150"/>
    </row>
    <row r="73" spans="1:17" s="151" customFormat="1" x14ac:dyDescent="0.25">
      <c r="A73" s="148"/>
      <c r="B73" s="48" t="s">
        <v>472</v>
      </c>
      <c r="C73" s="148"/>
      <c r="D73" s="476" t="s">
        <v>384</v>
      </c>
      <c r="E73" s="50">
        <f>'Rekapitulacija Posebni dio'!C23</f>
        <v>0</v>
      </c>
      <c r="F73" s="50">
        <f>'Rekapitulacija Posebni dio'!D23</f>
        <v>2000</v>
      </c>
      <c r="G73" s="50">
        <f>'Rekapitulacija Posebni dio'!E23</f>
        <v>2000</v>
      </c>
      <c r="H73" s="50">
        <f>'Rekapitulacija Posebni dio'!F23</f>
        <v>0</v>
      </c>
      <c r="I73" s="602">
        <f t="shared" si="0"/>
        <v>0</v>
      </c>
      <c r="J73" s="602">
        <f t="shared" si="1"/>
        <v>0</v>
      </c>
      <c r="K73" s="150"/>
      <c r="L73" s="150"/>
      <c r="M73" s="150"/>
      <c r="N73" s="150"/>
      <c r="O73" s="150"/>
      <c r="P73" s="150"/>
      <c r="Q73" s="150"/>
    </row>
    <row r="74" spans="1:17" s="151" customFormat="1" x14ac:dyDescent="0.25">
      <c r="A74" s="148"/>
      <c r="B74" s="48" t="s">
        <v>473</v>
      </c>
      <c r="C74" s="148"/>
      <c r="D74" s="476" t="s">
        <v>386</v>
      </c>
      <c r="E74" s="50">
        <f>'Rekapitulacija Posebni dio'!C24</f>
        <v>1815.78</v>
      </c>
      <c r="F74" s="50">
        <f>'Rekapitulacija Posebni dio'!D24</f>
        <v>3800</v>
      </c>
      <c r="G74" s="50">
        <f>'Rekapitulacija Posebni dio'!E24</f>
        <v>3800</v>
      </c>
      <c r="H74" s="50">
        <f>'Rekapitulacija Posebni dio'!F24</f>
        <v>2082.88</v>
      </c>
      <c r="I74" s="602">
        <f t="shared" si="0"/>
        <v>54.812631578947368</v>
      </c>
      <c r="J74" s="602">
        <f t="shared" si="1"/>
        <v>54.812631578947368</v>
      </c>
      <c r="K74" s="150"/>
      <c r="L74" s="150"/>
      <c r="M74" s="150"/>
      <c r="N74" s="150"/>
      <c r="O74" s="150"/>
      <c r="P74" s="150"/>
      <c r="Q74" s="150"/>
    </row>
    <row r="75" spans="1:17" s="151" customFormat="1" x14ac:dyDescent="0.25">
      <c r="A75" s="148"/>
      <c r="B75" s="48" t="s">
        <v>474</v>
      </c>
      <c r="C75" s="148"/>
      <c r="D75" s="476" t="s">
        <v>387</v>
      </c>
      <c r="E75" s="50">
        <f>'Rekapitulacija Posebni dio'!C25</f>
        <v>0</v>
      </c>
      <c r="F75" s="50">
        <f>'Rekapitulacija Posebni dio'!D25</f>
        <v>40000</v>
      </c>
      <c r="G75" s="50">
        <f>'Rekapitulacija Posebni dio'!E25</f>
        <v>40000</v>
      </c>
      <c r="H75" s="50">
        <f>'Rekapitulacija Posebni dio'!F25</f>
        <v>900</v>
      </c>
      <c r="I75" s="602">
        <f t="shared" si="0"/>
        <v>2.25</v>
      </c>
      <c r="J75" s="602">
        <f t="shared" si="1"/>
        <v>2.25</v>
      </c>
      <c r="K75" s="150"/>
      <c r="L75" s="150"/>
      <c r="M75" s="150"/>
      <c r="N75" s="150"/>
      <c r="O75" s="150"/>
      <c r="P75" s="150"/>
      <c r="Q75" s="150"/>
    </row>
    <row r="76" spans="1:17" s="147" customFormat="1" x14ac:dyDescent="0.25">
      <c r="A76" s="143"/>
      <c r="B76" s="48" t="s">
        <v>475</v>
      </c>
      <c r="C76" s="143"/>
      <c r="D76" s="476" t="s">
        <v>382</v>
      </c>
      <c r="E76" s="145">
        <f>'Rekapitulacija Posebni dio'!C26</f>
        <v>0</v>
      </c>
      <c r="F76" s="145">
        <f>'Rekapitulacija Posebni dio'!D26</f>
        <v>39414.880000000005</v>
      </c>
      <c r="G76" s="145">
        <f>'Rekapitulacija Posebni dio'!E26</f>
        <v>39414.880000000005</v>
      </c>
      <c r="H76" s="145">
        <f>'Rekapitulacija Posebni dio'!F26</f>
        <v>0</v>
      </c>
      <c r="I76" s="602">
        <f t="shared" si="0"/>
        <v>0</v>
      </c>
      <c r="J76" s="602">
        <f t="shared" si="1"/>
        <v>0</v>
      </c>
      <c r="K76" s="146"/>
      <c r="L76" s="146"/>
      <c r="M76" s="146"/>
      <c r="N76" s="146"/>
      <c r="O76" s="146"/>
      <c r="P76" s="146"/>
      <c r="Q76" s="146"/>
    </row>
    <row r="77" spans="1:17" s="147" customFormat="1" x14ac:dyDescent="0.25">
      <c r="A77" s="105"/>
      <c r="B77" s="53">
        <v>313</v>
      </c>
      <c r="C77" s="105"/>
      <c r="D77" s="105" t="s">
        <v>100</v>
      </c>
      <c r="E77" s="152">
        <f>E78+E80</f>
        <v>267216.27</v>
      </c>
      <c r="F77" s="152">
        <f>F78+F80</f>
        <v>413406</v>
      </c>
      <c r="G77" s="152">
        <f>G78+G80</f>
        <v>413406</v>
      </c>
      <c r="H77" s="152">
        <f>H78+H80</f>
        <v>229990.24</v>
      </c>
      <c r="I77" s="602">
        <f t="shared" si="0"/>
        <v>55.63301935627446</v>
      </c>
      <c r="J77" s="602">
        <f t="shared" si="1"/>
        <v>55.63301935627446</v>
      </c>
      <c r="K77" s="146"/>
      <c r="L77" s="146"/>
      <c r="M77" s="146"/>
      <c r="N77" s="146"/>
      <c r="O77" s="146"/>
      <c r="P77" s="146"/>
      <c r="Q77" s="146"/>
    </row>
    <row r="78" spans="1:17" s="147" customFormat="1" x14ac:dyDescent="0.25">
      <c r="A78" s="105"/>
      <c r="B78" s="60">
        <v>3132</v>
      </c>
      <c r="C78" s="148"/>
      <c r="D78" s="148" t="s">
        <v>101</v>
      </c>
      <c r="E78" s="217">
        <f>SUM(E79)</f>
        <v>267178.53000000003</v>
      </c>
      <c r="F78" s="217">
        <f>SUM(F79)</f>
        <v>413406</v>
      </c>
      <c r="G78" s="217">
        <f>SUM(G79)</f>
        <v>413406</v>
      </c>
      <c r="H78" s="217">
        <f t="shared" ref="H78" si="24">SUM(H79)</f>
        <v>229990.24</v>
      </c>
      <c r="I78" s="602">
        <f t="shared" si="0"/>
        <v>55.63301935627446</v>
      </c>
      <c r="J78" s="602">
        <f t="shared" si="1"/>
        <v>55.63301935627446</v>
      </c>
      <c r="K78" s="146"/>
      <c r="L78" s="146"/>
      <c r="M78" s="146"/>
      <c r="N78" s="146"/>
      <c r="O78" s="146"/>
      <c r="P78" s="146"/>
      <c r="Q78" s="146"/>
    </row>
    <row r="79" spans="1:17" s="12" customFormat="1" x14ac:dyDescent="0.25">
      <c r="A79" s="143"/>
      <c r="B79" s="57" t="s">
        <v>476</v>
      </c>
      <c r="C79" s="143"/>
      <c r="D79" s="143" t="s">
        <v>101</v>
      </c>
      <c r="E79" s="145">
        <f>'Rekapitulacija Posebni dio'!C29</f>
        <v>267178.53000000003</v>
      </c>
      <c r="F79" s="145">
        <f>'Rekapitulacija Posebni dio'!D29</f>
        <v>413406</v>
      </c>
      <c r="G79" s="145">
        <f>'Rekapitulacija Posebni dio'!E29</f>
        <v>413406</v>
      </c>
      <c r="H79" s="145">
        <f>'Rekapitulacija Posebni dio'!F29</f>
        <v>229990.24</v>
      </c>
      <c r="I79" s="602">
        <f t="shared" si="0"/>
        <v>55.63301935627446</v>
      </c>
      <c r="J79" s="602">
        <f t="shared" si="1"/>
        <v>55.63301935627446</v>
      </c>
      <c r="K79" s="3"/>
      <c r="L79" s="3"/>
      <c r="M79" s="3"/>
      <c r="N79" s="3"/>
      <c r="O79" s="3"/>
      <c r="P79" s="3"/>
      <c r="Q79" s="3"/>
    </row>
    <row r="80" spans="1:17" s="12" customFormat="1" x14ac:dyDescent="0.25">
      <c r="A80" s="143"/>
      <c r="B80" s="60" t="s">
        <v>314</v>
      </c>
      <c r="C80" s="143"/>
      <c r="D80" s="148" t="s">
        <v>571</v>
      </c>
      <c r="E80" s="93">
        <f>E81</f>
        <v>37.74</v>
      </c>
      <c r="F80" s="93">
        <f>F81</f>
        <v>0</v>
      </c>
      <c r="G80" s="93">
        <f>G81</f>
        <v>0</v>
      </c>
      <c r="H80" s="93">
        <f>H81</f>
        <v>0</v>
      </c>
      <c r="I80" s="602" t="e">
        <f t="shared" si="0"/>
        <v>#DIV/0!</v>
      </c>
      <c r="J80" s="602" t="e">
        <f t="shared" si="1"/>
        <v>#DIV/0!</v>
      </c>
      <c r="K80" s="3"/>
      <c r="L80" s="3"/>
      <c r="M80" s="3"/>
      <c r="N80" s="3"/>
      <c r="O80" s="3"/>
      <c r="P80" s="3"/>
      <c r="Q80" s="3"/>
    </row>
    <row r="81" spans="1:17" s="12" customFormat="1" x14ac:dyDescent="0.25">
      <c r="A81" s="143"/>
      <c r="B81" s="57" t="s">
        <v>569</v>
      </c>
      <c r="C81" s="143"/>
      <c r="D81" s="143" t="s">
        <v>570</v>
      </c>
      <c r="E81" s="145">
        <f>'Rekapitulacija Posebni dio'!C31</f>
        <v>37.74</v>
      </c>
      <c r="F81" s="145">
        <f>'Rekapitulacija Posebni dio'!D31</f>
        <v>0</v>
      </c>
      <c r="G81" s="145">
        <f>'Rekapitulacija Posebni dio'!E31</f>
        <v>0</v>
      </c>
      <c r="H81" s="145">
        <f>'Rekapitulacija Posebni dio'!F31</f>
        <v>0</v>
      </c>
      <c r="I81" s="602" t="e">
        <f t="shared" si="0"/>
        <v>#DIV/0!</v>
      </c>
      <c r="J81" s="602" t="e">
        <f t="shared" si="1"/>
        <v>#DIV/0!</v>
      </c>
      <c r="K81" s="3"/>
      <c r="L81" s="3"/>
      <c r="M81" s="3"/>
      <c r="N81" s="3"/>
      <c r="O81" s="3"/>
      <c r="P81" s="3"/>
      <c r="Q81" s="3"/>
    </row>
    <row r="82" spans="1:17" s="12" customFormat="1" x14ac:dyDescent="0.25">
      <c r="A82" s="105"/>
      <c r="B82" s="22">
        <v>32</v>
      </c>
      <c r="C82" s="141"/>
      <c r="D82" s="142" t="s">
        <v>102</v>
      </c>
      <c r="E82" s="42">
        <f>E83+E95+E120+E151+E154+E158</f>
        <v>400850.39499999996</v>
      </c>
      <c r="F82" s="42">
        <f>F83+F95+F120+F151+F154+F158</f>
        <v>829345.58000000007</v>
      </c>
      <c r="G82" s="42">
        <f t="shared" ref="G82:H82" si="25">G83+G95+G120+G151+G154+G158</f>
        <v>715540.49000000011</v>
      </c>
      <c r="H82" s="42">
        <f t="shared" si="25"/>
        <v>292040.375</v>
      </c>
      <c r="I82" s="606">
        <f t="shared" si="0"/>
        <v>35.213351592227696</v>
      </c>
      <c r="J82" s="606">
        <f t="shared" si="1"/>
        <v>40.813955196302018</v>
      </c>
      <c r="K82" s="3"/>
      <c r="L82" s="3"/>
      <c r="M82" s="3"/>
      <c r="N82" s="3"/>
      <c r="O82" s="3"/>
      <c r="P82" s="3"/>
      <c r="Q82" s="3"/>
    </row>
    <row r="83" spans="1:17" s="12" customFormat="1" x14ac:dyDescent="0.25">
      <c r="A83" s="105"/>
      <c r="B83" s="43">
        <v>321</v>
      </c>
      <c r="C83" s="105"/>
      <c r="D83" s="105" t="s">
        <v>103</v>
      </c>
      <c r="E83" s="46">
        <f>E84+E88+E90+E93</f>
        <v>54208.855000000003</v>
      </c>
      <c r="F83" s="46">
        <f>F84+F88+F90+F93</f>
        <v>106441.57</v>
      </c>
      <c r="G83" s="46">
        <f>G84+G88+G90+G93</f>
        <v>106441.57</v>
      </c>
      <c r="H83" s="46">
        <f t="shared" ref="H83" si="26">H84+H88+H90+H93</f>
        <v>44479.619999999995</v>
      </c>
      <c r="I83" s="602">
        <f t="shared" si="0"/>
        <v>41.787827819525766</v>
      </c>
      <c r="J83" s="602">
        <f t="shared" si="1"/>
        <v>41.787827819525766</v>
      </c>
      <c r="K83" s="3"/>
      <c r="L83" s="3"/>
      <c r="M83" s="3"/>
      <c r="N83" s="3"/>
      <c r="O83" s="3"/>
      <c r="P83" s="3"/>
      <c r="Q83" s="3"/>
    </row>
    <row r="84" spans="1:17" s="12" customFormat="1" x14ac:dyDescent="0.25">
      <c r="A84" s="105"/>
      <c r="B84" s="149" t="s">
        <v>104</v>
      </c>
      <c r="C84" s="148"/>
      <c r="D84" s="148" t="s">
        <v>105</v>
      </c>
      <c r="E84" s="93">
        <f>SUM(E85:E87)</f>
        <v>1130.6500000000001</v>
      </c>
      <c r="F84" s="93">
        <f>SUM(F85:F87)</f>
        <v>18977.240000000002</v>
      </c>
      <c r="G84" s="93">
        <f>SUM(G85:G87)</f>
        <v>18977.240000000002</v>
      </c>
      <c r="H84" s="93">
        <f>SUM(H85:H87)</f>
        <v>1201.3900000000003</v>
      </c>
      <c r="I84" s="602">
        <f t="shared" si="0"/>
        <v>6.3306887619063694</v>
      </c>
      <c r="J84" s="602">
        <f t="shared" si="1"/>
        <v>6.3306887619063694</v>
      </c>
      <c r="K84" s="3"/>
      <c r="L84" s="3"/>
      <c r="M84" s="3"/>
      <c r="N84" s="3"/>
      <c r="O84" s="3"/>
      <c r="P84" s="3"/>
      <c r="Q84" s="3"/>
    </row>
    <row r="85" spans="1:17" s="12" customFormat="1" x14ac:dyDescent="0.25">
      <c r="A85" s="105"/>
      <c r="B85" s="48" t="s">
        <v>508</v>
      </c>
      <c r="C85" s="167"/>
      <c r="D85" s="167" t="s">
        <v>388</v>
      </c>
      <c r="E85" s="50">
        <f>'Rekapitulacija Posebni dio'!C35</f>
        <v>1130.6500000000001</v>
      </c>
      <c r="F85" s="50">
        <f>'Rekapitulacija Posebni dio'!D35</f>
        <v>11800</v>
      </c>
      <c r="G85" s="50">
        <f>'Rekapitulacija Posebni dio'!E35</f>
        <v>11800</v>
      </c>
      <c r="H85" s="50">
        <f>'Rekapitulacija Posebni dio'!F35</f>
        <v>825.00000000000023</v>
      </c>
      <c r="I85" s="602">
        <f t="shared" si="0"/>
        <v>6.9915254237288158</v>
      </c>
      <c r="J85" s="602">
        <f t="shared" si="1"/>
        <v>6.9915254237288158</v>
      </c>
      <c r="K85" s="3"/>
      <c r="L85" s="3"/>
      <c r="M85" s="3"/>
      <c r="N85" s="3"/>
      <c r="O85" s="3"/>
      <c r="P85" s="3"/>
      <c r="Q85" s="3"/>
    </row>
    <row r="86" spans="1:17" s="12" customFormat="1" x14ac:dyDescent="0.25">
      <c r="A86" s="105"/>
      <c r="B86" s="48" t="s">
        <v>516</v>
      </c>
      <c r="C86" s="167"/>
      <c r="D86" s="167" t="s">
        <v>390</v>
      </c>
      <c r="E86" s="50">
        <f>'Rekapitulacija Posebni dio'!C36</f>
        <v>0</v>
      </c>
      <c r="F86" s="50">
        <f>'Rekapitulacija Posebni dio'!D36</f>
        <v>700</v>
      </c>
      <c r="G86" s="50">
        <f>'Rekapitulacija Posebni dio'!E36</f>
        <v>700</v>
      </c>
      <c r="H86" s="50">
        <f>'Rekapitulacija Posebni dio'!F36</f>
        <v>227.60000000000002</v>
      </c>
      <c r="I86" s="602">
        <f t="shared" si="0"/>
        <v>32.51428571428572</v>
      </c>
      <c r="J86" s="602">
        <f t="shared" si="1"/>
        <v>32.51428571428572</v>
      </c>
      <c r="K86" s="3"/>
      <c r="L86" s="3"/>
      <c r="M86" s="3"/>
      <c r="N86" s="3"/>
      <c r="O86" s="3"/>
      <c r="P86" s="3"/>
      <c r="Q86" s="3"/>
    </row>
    <row r="87" spans="1:17" s="155" customFormat="1" x14ac:dyDescent="0.25">
      <c r="A87" s="143"/>
      <c r="B87" s="48" t="s">
        <v>497</v>
      </c>
      <c r="C87" s="167"/>
      <c r="D87" s="167" t="s">
        <v>391</v>
      </c>
      <c r="E87" s="50">
        <f>'Rekapitulacija Posebni dio'!C37</f>
        <v>0</v>
      </c>
      <c r="F87" s="50">
        <f>'Rekapitulacija Posebni dio'!D37</f>
        <v>6477.2400000000016</v>
      </c>
      <c r="G87" s="50">
        <f>'Rekapitulacija Posebni dio'!E37</f>
        <v>6477.2400000000016</v>
      </c>
      <c r="H87" s="50">
        <f>'Rekapitulacija Posebni dio'!F37</f>
        <v>148.79000000000008</v>
      </c>
      <c r="I87" s="602">
        <f t="shared" si="0"/>
        <v>2.29712037843279</v>
      </c>
      <c r="J87" s="602">
        <f t="shared" ref="J87:J150" si="27">H87/G87*100</f>
        <v>2.29712037843279</v>
      </c>
      <c r="K87" s="154"/>
      <c r="L87" s="154"/>
      <c r="M87" s="154"/>
      <c r="N87" s="154"/>
      <c r="O87" s="154"/>
      <c r="P87" s="154"/>
      <c r="Q87" s="154"/>
    </row>
    <row r="88" spans="1:17" s="155" customFormat="1" x14ac:dyDescent="0.25">
      <c r="A88" s="143"/>
      <c r="B88" s="149" t="s">
        <v>106</v>
      </c>
      <c r="C88" s="148"/>
      <c r="D88" s="158" t="s">
        <v>107</v>
      </c>
      <c r="E88" s="93">
        <f>SUM(E89)</f>
        <v>48896.01</v>
      </c>
      <c r="F88" s="93">
        <f>SUM(F89)</f>
        <v>82288.14</v>
      </c>
      <c r="G88" s="93">
        <f>SUM(G89)</f>
        <v>82288.14</v>
      </c>
      <c r="H88" s="93">
        <f>SUM(H89)</f>
        <v>40439.539999999994</v>
      </c>
      <c r="I88" s="602">
        <f t="shared" si="0"/>
        <v>49.14382558653044</v>
      </c>
      <c r="J88" s="602">
        <f t="shared" si="27"/>
        <v>49.14382558653044</v>
      </c>
      <c r="K88" s="154"/>
      <c r="L88" s="154"/>
      <c r="M88" s="154"/>
      <c r="N88" s="154"/>
      <c r="O88" s="154"/>
      <c r="P88" s="154"/>
      <c r="Q88" s="154"/>
    </row>
    <row r="89" spans="1:17" s="12" customFormat="1" x14ac:dyDescent="0.25">
      <c r="A89" s="143"/>
      <c r="B89" s="144" t="s">
        <v>477</v>
      </c>
      <c r="C89" s="143"/>
      <c r="D89" s="156" t="s">
        <v>107</v>
      </c>
      <c r="E89" s="145">
        <f>'Rekapitulacija Posebni dio'!C39</f>
        <v>48896.01</v>
      </c>
      <c r="F89" s="145">
        <f>'Rekapitulacija Posebni dio'!D39</f>
        <v>82288.14</v>
      </c>
      <c r="G89" s="145">
        <f>'Rekapitulacija Posebni dio'!E39</f>
        <v>82288.14</v>
      </c>
      <c r="H89" s="145">
        <f>'Rekapitulacija Posebni dio'!F39</f>
        <v>40439.539999999994</v>
      </c>
      <c r="I89" s="602">
        <f t="shared" si="0"/>
        <v>49.14382558653044</v>
      </c>
      <c r="J89" s="602">
        <f t="shared" si="27"/>
        <v>49.14382558653044</v>
      </c>
      <c r="K89" s="157"/>
      <c r="L89" s="157"/>
      <c r="M89" s="3"/>
      <c r="N89" s="3"/>
      <c r="O89" s="3"/>
      <c r="P89" s="3"/>
      <c r="Q89" s="3"/>
    </row>
    <row r="90" spans="1:17" s="12" customFormat="1" x14ac:dyDescent="0.25">
      <c r="A90" s="143"/>
      <c r="B90" s="149" t="s">
        <v>108</v>
      </c>
      <c r="C90" s="148"/>
      <c r="D90" s="158" t="s">
        <v>109</v>
      </c>
      <c r="E90" s="93">
        <f>SUM(E91:E92)</f>
        <v>4182.1949999999997</v>
      </c>
      <c r="F90" s="93">
        <f>SUM(F91:F92)</f>
        <v>4778.0200000000004</v>
      </c>
      <c r="G90" s="93">
        <f>SUM(G91:G92)</f>
        <v>4778.0200000000004</v>
      </c>
      <c r="H90" s="93">
        <f t="shared" ref="H90" si="28">SUM(H91:H92)</f>
        <v>2838.69</v>
      </c>
      <c r="I90" s="602">
        <f t="shared" si="0"/>
        <v>59.411429839138385</v>
      </c>
      <c r="J90" s="602">
        <f t="shared" si="27"/>
        <v>59.411429839138385</v>
      </c>
      <c r="K90" s="157"/>
      <c r="L90" s="157"/>
      <c r="M90" s="3"/>
      <c r="N90" s="3"/>
      <c r="O90" s="3"/>
      <c r="P90" s="3"/>
      <c r="Q90" s="3"/>
    </row>
    <row r="91" spans="1:17" s="12" customFormat="1" x14ac:dyDescent="0.25">
      <c r="A91" s="143"/>
      <c r="B91" s="144" t="s">
        <v>518</v>
      </c>
      <c r="C91" s="143"/>
      <c r="D91" s="156" t="s">
        <v>392</v>
      </c>
      <c r="E91" s="145">
        <f>'Rekapitulacija Posebni dio'!C41</f>
        <v>480</v>
      </c>
      <c r="F91" s="145">
        <f>'Rekapitulacija Posebni dio'!D41</f>
        <v>2200</v>
      </c>
      <c r="G91" s="145">
        <f>'Rekapitulacija Posebni dio'!E41</f>
        <v>2200</v>
      </c>
      <c r="H91" s="145">
        <f>'Rekapitulacija Posebni dio'!F41</f>
        <v>802.5</v>
      </c>
      <c r="I91" s="602">
        <f t="shared" ref="I91:I160" si="29">H91/F91*100</f>
        <v>36.477272727272727</v>
      </c>
      <c r="J91" s="602">
        <f t="shared" si="27"/>
        <v>36.477272727272727</v>
      </c>
      <c r="K91" s="157"/>
      <c r="L91" s="157"/>
      <c r="M91" s="3"/>
      <c r="N91" s="3"/>
      <c r="O91" s="3"/>
      <c r="P91" s="3"/>
      <c r="Q91" s="3"/>
    </row>
    <row r="92" spans="1:17" s="12" customFormat="1" x14ac:dyDescent="0.25">
      <c r="A92" s="143"/>
      <c r="B92" s="144" t="s">
        <v>498</v>
      </c>
      <c r="C92" s="143"/>
      <c r="D92" s="156" t="s">
        <v>393</v>
      </c>
      <c r="E92" s="145">
        <f>'Rekapitulacija Posebni dio'!C42</f>
        <v>3702.1950000000002</v>
      </c>
      <c r="F92" s="145">
        <f>'Rekapitulacija Posebni dio'!D42</f>
        <v>2578.0200000000004</v>
      </c>
      <c r="G92" s="145">
        <f>'Rekapitulacija Posebni dio'!E42</f>
        <v>2578.0200000000004</v>
      </c>
      <c r="H92" s="145">
        <f>'Rekapitulacija Posebni dio'!F42</f>
        <v>2036.19</v>
      </c>
      <c r="I92" s="602">
        <f t="shared" si="29"/>
        <v>78.982707659366483</v>
      </c>
      <c r="J92" s="602">
        <f t="shared" si="27"/>
        <v>78.982707659366483</v>
      </c>
      <c r="K92" s="3"/>
      <c r="L92" s="3"/>
      <c r="M92" s="3"/>
      <c r="N92" s="3"/>
      <c r="O92" s="3"/>
      <c r="P92" s="3"/>
      <c r="Q92" s="3"/>
    </row>
    <row r="93" spans="1:17" s="12" customFormat="1" x14ac:dyDescent="0.25">
      <c r="A93" s="143"/>
      <c r="B93" s="149" t="s">
        <v>110</v>
      </c>
      <c r="C93" s="148"/>
      <c r="D93" s="158" t="s">
        <v>111</v>
      </c>
      <c r="E93" s="93">
        <f>SUM(E94)</f>
        <v>0</v>
      </c>
      <c r="F93" s="93">
        <f>SUM(F94)</f>
        <v>398.17</v>
      </c>
      <c r="G93" s="93">
        <f>SUM(G94)</f>
        <v>398.17</v>
      </c>
      <c r="H93" s="93">
        <f t="shared" ref="H93" si="30">SUM(H94)</f>
        <v>0</v>
      </c>
      <c r="I93" s="602">
        <f t="shared" si="29"/>
        <v>0</v>
      </c>
      <c r="J93" s="602">
        <f t="shared" si="27"/>
        <v>0</v>
      </c>
      <c r="K93" s="3"/>
      <c r="L93" s="3"/>
      <c r="M93" s="3"/>
      <c r="N93" s="3"/>
      <c r="O93" s="3"/>
      <c r="P93" s="3"/>
      <c r="Q93" s="3"/>
    </row>
    <row r="94" spans="1:17" s="12" customFormat="1" x14ac:dyDescent="0.25">
      <c r="A94" s="143"/>
      <c r="B94" s="144" t="s">
        <v>478</v>
      </c>
      <c r="C94" s="143"/>
      <c r="D94" s="156" t="s">
        <v>517</v>
      </c>
      <c r="E94" s="145">
        <f>'Rekapitulacija Posebni dio'!C44</f>
        <v>0</v>
      </c>
      <c r="F94" s="145">
        <f>'Rekapitulacija Posebni dio'!D44</f>
        <v>398.17</v>
      </c>
      <c r="G94" s="145">
        <f>'Rekapitulacija Posebni dio'!E44</f>
        <v>398.17</v>
      </c>
      <c r="H94" s="145">
        <f>'Rekapitulacija Posebni dio'!F44</f>
        <v>0</v>
      </c>
      <c r="I94" s="602">
        <f t="shared" si="29"/>
        <v>0</v>
      </c>
      <c r="J94" s="602">
        <f t="shared" si="27"/>
        <v>0</v>
      </c>
      <c r="K94" s="3"/>
      <c r="L94" s="3"/>
      <c r="M94" s="3"/>
      <c r="N94" s="3"/>
      <c r="O94" s="3"/>
      <c r="P94" s="3"/>
      <c r="Q94" s="3"/>
    </row>
    <row r="95" spans="1:17" s="68" customFormat="1" x14ac:dyDescent="0.25">
      <c r="A95" s="148"/>
      <c r="B95" s="149" t="s">
        <v>112</v>
      </c>
      <c r="C95" s="148"/>
      <c r="D95" s="158" t="s">
        <v>113</v>
      </c>
      <c r="E95" s="93">
        <f>E96+E102+E106+E111+E116+E118</f>
        <v>217379.58000000002</v>
      </c>
      <c r="F95" s="93">
        <f>F96+F102+F106+F111+F116+F118</f>
        <v>431866.74</v>
      </c>
      <c r="G95" s="93">
        <f>G96+G102+G106+G111+G116+G118</f>
        <v>146061.65000000002</v>
      </c>
      <c r="H95" s="93">
        <f t="shared" ref="H95" si="31">H96+H102+H106+H111+H116+H118</f>
        <v>59362.920000000006</v>
      </c>
      <c r="I95" s="602">
        <f t="shared" si="29"/>
        <v>13.745656819971829</v>
      </c>
      <c r="J95" s="602">
        <f t="shared" si="27"/>
        <v>40.64237258719178</v>
      </c>
      <c r="K95" s="67"/>
      <c r="L95" s="67"/>
      <c r="M95" s="67"/>
      <c r="N95" s="67"/>
      <c r="O95" s="67"/>
      <c r="P95" s="67"/>
      <c r="Q95" s="67"/>
    </row>
    <row r="96" spans="1:17" s="68" customFormat="1" x14ac:dyDescent="0.25">
      <c r="A96" s="148"/>
      <c r="B96" s="149" t="s">
        <v>114</v>
      </c>
      <c r="C96" s="148"/>
      <c r="D96" s="148" t="s">
        <v>115</v>
      </c>
      <c r="E96" s="93">
        <f>SUM(E97:E101)</f>
        <v>17785.620000000003</v>
      </c>
      <c r="F96" s="93">
        <f>SUM(F97:F101)</f>
        <v>29862.63</v>
      </c>
      <c r="G96" s="93">
        <f>SUM(G97:G101)</f>
        <v>29862.63</v>
      </c>
      <c r="H96" s="93">
        <f t="shared" ref="H96" si="32">SUM(H97:H101)</f>
        <v>13387.220000000001</v>
      </c>
      <c r="I96" s="602">
        <f t="shared" si="29"/>
        <v>44.829340215513511</v>
      </c>
      <c r="J96" s="602">
        <f t="shared" si="27"/>
        <v>44.829340215513511</v>
      </c>
      <c r="K96" s="67"/>
      <c r="L96" s="67"/>
      <c r="M96" s="67"/>
      <c r="N96" s="67"/>
      <c r="O96" s="67"/>
      <c r="P96" s="67"/>
      <c r="Q96" s="67"/>
    </row>
    <row r="97" spans="1:17" s="68" customFormat="1" x14ac:dyDescent="0.25">
      <c r="A97" s="148"/>
      <c r="B97" s="48" t="s">
        <v>499</v>
      </c>
      <c r="C97" s="167"/>
      <c r="D97" s="406" t="s">
        <v>395</v>
      </c>
      <c r="E97" s="50">
        <f>'Rekapitulacija Posebni dio'!C47</f>
        <v>9339.7900000000009</v>
      </c>
      <c r="F97" s="50">
        <f>'Rekapitulacija Posebni dio'!D47</f>
        <v>12000</v>
      </c>
      <c r="G97" s="50">
        <f>'Rekapitulacija Posebni dio'!E47</f>
        <v>12000</v>
      </c>
      <c r="H97" s="50">
        <f>'Rekapitulacija Posebni dio'!F47</f>
        <v>4925.2599999999993</v>
      </c>
      <c r="I97" s="602">
        <f t="shared" si="29"/>
        <v>41.043833333333332</v>
      </c>
      <c r="J97" s="602">
        <f t="shared" si="27"/>
        <v>41.043833333333332</v>
      </c>
      <c r="K97" s="67"/>
      <c r="L97" s="67"/>
      <c r="M97" s="67"/>
      <c r="N97" s="67"/>
      <c r="O97" s="67"/>
      <c r="P97" s="67"/>
      <c r="Q97" s="67"/>
    </row>
    <row r="98" spans="1:17" s="68" customFormat="1" x14ac:dyDescent="0.25">
      <c r="A98" s="148"/>
      <c r="B98" s="48" t="s">
        <v>519</v>
      </c>
      <c r="C98" s="167"/>
      <c r="D98" s="406" t="s">
        <v>396</v>
      </c>
      <c r="E98" s="50">
        <f>'Rekapitulacija Posebni dio'!C48</f>
        <v>0</v>
      </c>
      <c r="F98" s="50">
        <f>'Rekapitulacija Posebni dio'!D48</f>
        <v>500</v>
      </c>
      <c r="G98" s="50">
        <f>'Rekapitulacija Posebni dio'!E48</f>
        <v>500</v>
      </c>
      <c r="H98" s="50">
        <f>'Rekapitulacija Posebni dio'!F48</f>
        <v>270</v>
      </c>
      <c r="I98" s="602">
        <f t="shared" si="29"/>
        <v>54</v>
      </c>
      <c r="J98" s="602">
        <f t="shared" si="27"/>
        <v>54</v>
      </c>
      <c r="K98" s="67"/>
      <c r="L98" s="67"/>
      <c r="M98" s="67"/>
      <c r="N98" s="67"/>
      <c r="O98" s="67"/>
      <c r="P98" s="67"/>
      <c r="Q98" s="67"/>
    </row>
    <row r="99" spans="1:17" s="68" customFormat="1" x14ac:dyDescent="0.25">
      <c r="A99" s="148"/>
      <c r="B99" s="48" t="s">
        <v>520</v>
      </c>
      <c r="C99" s="167"/>
      <c r="D99" s="406" t="s">
        <v>397</v>
      </c>
      <c r="E99" s="50">
        <f>'Rekapitulacija Posebni dio'!C49</f>
        <v>6750.85</v>
      </c>
      <c r="F99" s="50">
        <f>'Rekapitulacija Posebni dio'!D49</f>
        <v>15000</v>
      </c>
      <c r="G99" s="50">
        <f>'Rekapitulacija Posebni dio'!E49</f>
        <v>15000</v>
      </c>
      <c r="H99" s="50">
        <f>'Rekapitulacija Posebni dio'!F49</f>
        <v>5482.1</v>
      </c>
      <c r="I99" s="602">
        <f t="shared" si="29"/>
        <v>36.547333333333334</v>
      </c>
      <c r="J99" s="602">
        <f t="shared" si="27"/>
        <v>36.547333333333334</v>
      </c>
      <c r="K99" s="67"/>
      <c r="L99" s="67"/>
      <c r="M99" s="67"/>
      <c r="N99" s="67"/>
      <c r="O99" s="67"/>
      <c r="P99" s="67"/>
      <c r="Q99" s="67"/>
    </row>
    <row r="100" spans="1:17" s="68" customFormat="1" x14ac:dyDescent="0.25">
      <c r="A100" s="148"/>
      <c r="B100" s="48" t="s">
        <v>521</v>
      </c>
      <c r="C100" s="167"/>
      <c r="D100" s="406" t="s">
        <v>398</v>
      </c>
      <c r="E100" s="50">
        <f>'Rekapitulacija Posebni dio'!C50</f>
        <v>0</v>
      </c>
      <c r="F100" s="50">
        <f>'Rekapitulacija Posebni dio'!D50</f>
        <v>700</v>
      </c>
      <c r="G100" s="50">
        <f>'Rekapitulacija Posebni dio'!E50</f>
        <v>700</v>
      </c>
      <c r="H100" s="50">
        <f>'Rekapitulacija Posebni dio'!F50</f>
        <v>0</v>
      </c>
      <c r="I100" s="602">
        <f t="shared" si="29"/>
        <v>0</v>
      </c>
      <c r="J100" s="602">
        <f t="shared" si="27"/>
        <v>0</v>
      </c>
      <c r="K100" s="67"/>
      <c r="L100" s="67"/>
      <c r="M100" s="67"/>
      <c r="N100" s="67"/>
      <c r="O100" s="67"/>
      <c r="P100" s="67"/>
      <c r="Q100" s="67"/>
    </row>
    <row r="101" spans="1:17" s="68" customFormat="1" x14ac:dyDescent="0.25">
      <c r="A101" s="148"/>
      <c r="B101" s="48" t="s">
        <v>522</v>
      </c>
      <c r="C101" s="167"/>
      <c r="D101" s="167" t="s">
        <v>399</v>
      </c>
      <c r="E101" s="50">
        <f>'Rekapitulacija Posebni dio'!C51</f>
        <v>1694.98</v>
      </c>
      <c r="F101" s="50">
        <f>'Rekapitulacija Posebni dio'!D51</f>
        <v>1662.630000000001</v>
      </c>
      <c r="G101" s="50">
        <f>'Rekapitulacija Posebni dio'!E51</f>
        <v>1662.630000000001</v>
      </c>
      <c r="H101" s="50">
        <f>'Rekapitulacija Posebni dio'!F51</f>
        <v>2709.86</v>
      </c>
      <c r="I101" s="602">
        <f t="shared" si="29"/>
        <v>162.98635294683714</v>
      </c>
      <c r="J101" s="602">
        <f t="shared" si="27"/>
        <v>162.98635294683714</v>
      </c>
      <c r="K101" s="67"/>
      <c r="L101" s="67"/>
      <c r="M101" s="67"/>
      <c r="N101" s="67"/>
      <c r="O101" s="67"/>
      <c r="P101" s="67"/>
      <c r="Q101" s="67"/>
    </row>
    <row r="102" spans="1:17" s="68" customFormat="1" x14ac:dyDescent="0.25">
      <c r="A102" s="148"/>
      <c r="B102" s="149" t="s">
        <v>116</v>
      </c>
      <c r="C102" s="148"/>
      <c r="D102" s="148" t="s">
        <v>117</v>
      </c>
      <c r="E102" s="93">
        <f>SUM(E103:E105)</f>
        <v>120156.07</v>
      </c>
      <c r="F102" s="93">
        <f>SUM(F103:F105)</f>
        <v>191120.84</v>
      </c>
      <c r="G102" s="93">
        <f>SUM(G103:G105)</f>
        <v>0</v>
      </c>
      <c r="H102" s="93">
        <f t="shared" ref="H102" si="33">SUM(H103:H105)</f>
        <v>0</v>
      </c>
      <c r="I102" s="602">
        <f t="shared" si="29"/>
        <v>0</v>
      </c>
      <c r="J102" s="602" t="e">
        <f t="shared" si="27"/>
        <v>#DIV/0!</v>
      </c>
      <c r="K102" s="67"/>
      <c r="L102" s="67"/>
      <c r="M102" s="67"/>
      <c r="N102" s="67"/>
      <c r="O102" s="67"/>
      <c r="P102" s="67"/>
      <c r="Q102" s="67"/>
    </row>
    <row r="103" spans="1:17" s="68" customFormat="1" x14ac:dyDescent="0.25">
      <c r="A103" s="148"/>
      <c r="B103" s="48" t="s">
        <v>479</v>
      </c>
      <c r="C103" s="167"/>
      <c r="D103" s="167" t="s">
        <v>400</v>
      </c>
      <c r="E103" s="50">
        <f>'Rekapitulacija Posebni dio'!C53</f>
        <v>110024.57</v>
      </c>
      <c r="F103" s="50">
        <f>'Rekapitulacija Posebni dio'!D53</f>
        <v>170000</v>
      </c>
      <c r="G103" s="50">
        <f>'Rekapitulacija Posebni dio'!E53</f>
        <v>0</v>
      </c>
      <c r="H103" s="50">
        <f>'Rekapitulacija Posebni dio'!F53</f>
        <v>0</v>
      </c>
      <c r="I103" s="602">
        <f t="shared" si="29"/>
        <v>0</v>
      </c>
      <c r="J103" s="602" t="e">
        <f t="shared" si="27"/>
        <v>#DIV/0!</v>
      </c>
      <c r="K103" s="67"/>
      <c r="L103" s="67"/>
      <c r="M103" s="67"/>
      <c r="N103" s="67"/>
      <c r="O103" s="67"/>
      <c r="P103" s="67"/>
      <c r="Q103" s="67"/>
    </row>
    <row r="104" spans="1:17" s="68" customFormat="1" x14ac:dyDescent="0.25">
      <c r="A104" s="148"/>
      <c r="B104" s="48" t="s">
        <v>480</v>
      </c>
      <c r="C104" s="167"/>
      <c r="D104" s="167" t="s">
        <v>401</v>
      </c>
      <c r="E104" s="50">
        <f>'Rekapitulacija Posebni dio'!C54</f>
        <v>10015.200000000001</v>
      </c>
      <c r="F104" s="50">
        <f>'Rekapitulacija Posebni dio'!D54</f>
        <v>20000</v>
      </c>
      <c r="G104" s="50">
        <f>'Rekapitulacija Posebni dio'!E54</f>
        <v>0</v>
      </c>
      <c r="H104" s="50">
        <f>'Rekapitulacija Posebni dio'!F54</f>
        <v>0</v>
      </c>
      <c r="I104" s="602">
        <f t="shared" si="29"/>
        <v>0</v>
      </c>
      <c r="J104" s="602" t="e">
        <f t="shared" si="27"/>
        <v>#DIV/0!</v>
      </c>
      <c r="K104" s="67"/>
      <c r="L104" s="67"/>
      <c r="M104" s="67"/>
      <c r="N104" s="67"/>
      <c r="O104" s="67"/>
      <c r="P104" s="67"/>
      <c r="Q104" s="67"/>
    </row>
    <row r="105" spans="1:17" s="68" customFormat="1" x14ac:dyDescent="0.25">
      <c r="A105" s="148"/>
      <c r="B105" s="48" t="s">
        <v>481</v>
      </c>
      <c r="C105" s="148"/>
      <c r="D105" s="143" t="s">
        <v>523</v>
      </c>
      <c r="E105" s="145">
        <f>'Rekapitulacija Posebni dio'!C55</f>
        <v>116.3</v>
      </c>
      <c r="F105" s="145">
        <f>'Rekapitulacija Posebni dio'!D55</f>
        <v>1120.8399999999965</v>
      </c>
      <c r="G105" s="145">
        <f>'Rekapitulacija Posebni dio'!E55</f>
        <v>0</v>
      </c>
      <c r="H105" s="145">
        <f>'Rekapitulacija Posebni dio'!F55</f>
        <v>0</v>
      </c>
      <c r="I105" s="602">
        <f t="shared" si="29"/>
        <v>0</v>
      </c>
      <c r="J105" s="602" t="e">
        <f t="shared" si="27"/>
        <v>#DIV/0!</v>
      </c>
      <c r="K105" s="67"/>
      <c r="L105" s="67"/>
      <c r="M105" s="67"/>
      <c r="N105" s="67"/>
      <c r="O105" s="67"/>
      <c r="P105" s="67"/>
      <c r="Q105" s="67"/>
    </row>
    <row r="106" spans="1:17" s="68" customFormat="1" x14ac:dyDescent="0.25">
      <c r="A106" s="148"/>
      <c r="B106" s="149" t="s">
        <v>118</v>
      </c>
      <c r="C106" s="148"/>
      <c r="D106" s="148" t="s">
        <v>119</v>
      </c>
      <c r="E106" s="93">
        <f>SUM(E107:E110)</f>
        <v>68003.600000000006</v>
      </c>
      <c r="F106" s="93">
        <f>SUM(F107:F110)</f>
        <v>181684.25</v>
      </c>
      <c r="G106" s="93">
        <f>SUM(G107:G110)</f>
        <v>87000</v>
      </c>
      <c r="H106" s="93">
        <f t="shared" ref="H106" si="34">SUM(H107:H110)</f>
        <v>40528.380000000005</v>
      </c>
      <c r="I106" s="602">
        <f t="shared" si="29"/>
        <v>22.307040924020662</v>
      </c>
      <c r="J106" s="602">
        <f t="shared" si="27"/>
        <v>46.584344827586207</v>
      </c>
      <c r="K106" s="67"/>
      <c r="L106" s="67"/>
      <c r="M106" s="67"/>
      <c r="N106" s="67"/>
      <c r="O106" s="67"/>
      <c r="P106" s="67"/>
      <c r="Q106" s="67"/>
    </row>
    <row r="107" spans="1:17" s="68" customFormat="1" x14ac:dyDescent="0.25">
      <c r="A107" s="148"/>
      <c r="B107" s="48" t="s">
        <v>482</v>
      </c>
      <c r="C107" s="148"/>
      <c r="D107" s="143" t="s">
        <v>404</v>
      </c>
      <c r="E107" s="145">
        <f>'Rekapitulacija Posebni dio'!C57</f>
        <v>13304.5</v>
      </c>
      <c r="F107" s="145">
        <f>'Rekapitulacija Posebni dio'!D57</f>
        <v>29000</v>
      </c>
      <c r="G107" s="145">
        <f>'Rekapitulacija Posebni dio'!E57</f>
        <v>29000</v>
      </c>
      <c r="H107" s="145">
        <f>'Rekapitulacija Posebni dio'!F57</f>
        <v>14059.48</v>
      </c>
      <c r="I107" s="602">
        <f t="shared" si="29"/>
        <v>48.480965517241373</v>
      </c>
      <c r="J107" s="602">
        <f t="shared" si="27"/>
        <v>48.480965517241373</v>
      </c>
      <c r="K107" s="67"/>
      <c r="L107" s="67"/>
      <c r="M107" s="67"/>
      <c r="N107" s="67"/>
      <c r="O107" s="67"/>
      <c r="P107" s="67"/>
      <c r="Q107" s="67"/>
    </row>
    <row r="108" spans="1:17" s="68" customFormat="1" x14ac:dyDescent="0.25">
      <c r="A108" s="148"/>
      <c r="B108" s="48" t="s">
        <v>483</v>
      </c>
      <c r="C108" s="148"/>
      <c r="D108" s="143" t="s">
        <v>405</v>
      </c>
      <c r="E108" s="145">
        <f>'Rekapitulacija Posebni dio'!C58</f>
        <v>1296.74</v>
      </c>
      <c r="F108" s="145">
        <f>'Rekapitulacija Posebni dio'!D58</f>
        <v>2000</v>
      </c>
      <c r="G108" s="145">
        <f>'Rekapitulacija Posebni dio'!E58</f>
        <v>2000</v>
      </c>
      <c r="H108" s="145">
        <f>'Rekapitulacija Posebni dio'!F58</f>
        <v>1611.95</v>
      </c>
      <c r="I108" s="602">
        <f t="shared" si="29"/>
        <v>80.597499999999997</v>
      </c>
      <c r="J108" s="602">
        <f t="shared" si="27"/>
        <v>80.597499999999997</v>
      </c>
      <c r="K108" s="67"/>
      <c r="L108" s="67"/>
      <c r="M108" s="67"/>
      <c r="N108" s="67"/>
      <c r="O108" s="67"/>
      <c r="P108" s="67"/>
      <c r="Q108" s="67"/>
    </row>
    <row r="109" spans="1:17" s="68" customFormat="1" x14ac:dyDescent="0.25">
      <c r="A109" s="148"/>
      <c r="B109" s="48" t="s">
        <v>484</v>
      </c>
      <c r="C109" s="148"/>
      <c r="D109" s="143" t="s">
        <v>406</v>
      </c>
      <c r="E109" s="145">
        <f>'Rekapitulacija Posebni dio'!C59</f>
        <v>12787.97</v>
      </c>
      <c r="F109" s="145">
        <f>'Rekapitulacija Posebni dio'!D59</f>
        <v>36000</v>
      </c>
      <c r="G109" s="145">
        <f>'Rekapitulacija Posebni dio'!E59</f>
        <v>36000</v>
      </c>
      <c r="H109" s="145">
        <f>'Rekapitulacija Posebni dio'!F59</f>
        <v>16746.740000000002</v>
      </c>
      <c r="I109" s="602">
        <f t="shared" si="29"/>
        <v>46.518722222222223</v>
      </c>
      <c r="J109" s="602">
        <f t="shared" si="27"/>
        <v>46.518722222222223</v>
      </c>
      <c r="K109" s="67"/>
      <c r="L109" s="67"/>
      <c r="M109" s="67"/>
      <c r="N109" s="67"/>
      <c r="O109" s="67"/>
      <c r="P109" s="67"/>
      <c r="Q109" s="67"/>
    </row>
    <row r="110" spans="1:17" s="68" customFormat="1" x14ac:dyDescent="0.25">
      <c r="A110" s="148"/>
      <c r="B110" s="48" t="s">
        <v>485</v>
      </c>
      <c r="C110" s="148"/>
      <c r="D110" s="143" t="s">
        <v>403</v>
      </c>
      <c r="E110" s="145">
        <f>'Rekapitulacija Posebni dio'!C60</f>
        <v>40614.39</v>
      </c>
      <c r="F110" s="145">
        <f>'Rekapitulacija Posebni dio'!D60</f>
        <v>114684.25</v>
      </c>
      <c r="G110" s="145">
        <f>'Rekapitulacija Posebni dio'!E60</f>
        <v>20000</v>
      </c>
      <c r="H110" s="145">
        <f>'Rekapitulacija Posebni dio'!F60</f>
        <v>8110.2099999999991</v>
      </c>
      <c r="I110" s="602">
        <f t="shared" si="29"/>
        <v>7.0717731510647708</v>
      </c>
      <c r="J110" s="602">
        <f t="shared" si="27"/>
        <v>40.551049999999996</v>
      </c>
      <c r="K110" s="67"/>
      <c r="L110" s="67"/>
      <c r="M110" s="67"/>
      <c r="N110" s="67"/>
      <c r="O110" s="67"/>
      <c r="P110" s="67"/>
      <c r="Q110" s="67"/>
    </row>
    <row r="111" spans="1:17" s="68" customFormat="1" x14ac:dyDescent="0.25">
      <c r="A111" s="148"/>
      <c r="B111" s="149" t="s">
        <v>120</v>
      </c>
      <c r="C111" s="148"/>
      <c r="D111" s="158" t="s">
        <v>121</v>
      </c>
      <c r="E111" s="93">
        <f>SUM(E112:E115)</f>
        <v>2876.05</v>
      </c>
      <c r="F111" s="93">
        <f>SUM(F112:F115)</f>
        <v>13272.28</v>
      </c>
      <c r="G111" s="93">
        <f>SUM(G112:G115)</f>
        <v>13272.28</v>
      </c>
      <c r="H111" s="93">
        <f t="shared" ref="H111" si="35">SUM(H112:H115)</f>
        <v>3400.4500000000003</v>
      </c>
      <c r="I111" s="602">
        <f t="shared" si="29"/>
        <v>25.620692149351882</v>
      </c>
      <c r="J111" s="602">
        <f t="shared" si="27"/>
        <v>25.620692149351882</v>
      </c>
      <c r="K111" s="67"/>
      <c r="L111" s="67"/>
      <c r="M111" s="67"/>
      <c r="N111" s="67"/>
      <c r="O111" s="67"/>
      <c r="P111" s="67"/>
      <c r="Q111" s="67"/>
    </row>
    <row r="112" spans="1:17" s="68" customFormat="1" x14ac:dyDescent="0.25">
      <c r="A112" s="148"/>
      <c r="B112" s="48" t="s">
        <v>524</v>
      </c>
      <c r="C112" s="148"/>
      <c r="D112" s="426" t="s">
        <v>407</v>
      </c>
      <c r="E112" s="145">
        <f>'Rekapitulacija Posebni dio'!C62</f>
        <v>2410.7800000000002</v>
      </c>
      <c r="F112" s="145">
        <f>'Rekapitulacija Posebni dio'!D62</f>
        <v>7200</v>
      </c>
      <c r="G112" s="145">
        <f>'Rekapitulacija Posebni dio'!E62</f>
        <v>7200</v>
      </c>
      <c r="H112" s="145">
        <f>'Rekapitulacija Posebni dio'!F62</f>
        <v>848.53</v>
      </c>
      <c r="I112" s="602">
        <f t="shared" si="29"/>
        <v>11.785138888888888</v>
      </c>
      <c r="J112" s="602">
        <f t="shared" si="27"/>
        <v>11.785138888888888</v>
      </c>
      <c r="K112" s="67"/>
      <c r="L112" s="67"/>
      <c r="M112" s="67"/>
      <c r="N112" s="67"/>
      <c r="O112" s="67"/>
      <c r="P112" s="67"/>
      <c r="Q112" s="67"/>
    </row>
    <row r="113" spans="1:17" s="68" customFormat="1" x14ac:dyDescent="0.25">
      <c r="A113" s="148"/>
      <c r="B113" s="48" t="s">
        <v>525</v>
      </c>
      <c r="C113" s="148"/>
      <c r="D113" s="426" t="s">
        <v>409</v>
      </c>
      <c r="E113" s="145">
        <f>'Rekapitulacija Posebni dio'!C63</f>
        <v>145</v>
      </c>
      <c r="F113" s="145">
        <f>'Rekapitulacija Posebni dio'!D63</f>
        <v>3000</v>
      </c>
      <c r="G113" s="145">
        <f>'Rekapitulacija Posebni dio'!E63</f>
        <v>3000</v>
      </c>
      <c r="H113" s="145">
        <f>'Rekapitulacija Posebni dio'!F63</f>
        <v>2487.88</v>
      </c>
      <c r="I113" s="602">
        <f t="shared" si="29"/>
        <v>82.929333333333332</v>
      </c>
      <c r="J113" s="602">
        <f t="shared" si="27"/>
        <v>82.929333333333332</v>
      </c>
      <c r="K113" s="67"/>
      <c r="L113" s="67"/>
      <c r="M113" s="67"/>
      <c r="N113" s="67"/>
      <c r="O113" s="67"/>
      <c r="P113" s="67"/>
      <c r="Q113" s="67"/>
    </row>
    <row r="114" spans="1:17" s="68" customFormat="1" x14ac:dyDescent="0.25">
      <c r="A114" s="148"/>
      <c r="B114" s="48" t="s">
        <v>526</v>
      </c>
      <c r="C114" s="148"/>
      <c r="D114" s="426" t="s">
        <v>408</v>
      </c>
      <c r="E114" s="145">
        <f>'Rekapitulacija Posebni dio'!C64</f>
        <v>320.27</v>
      </c>
      <c r="F114" s="145">
        <f>'Rekapitulacija Posebni dio'!D64</f>
        <v>2500</v>
      </c>
      <c r="G114" s="145">
        <f>'Rekapitulacija Posebni dio'!E64</f>
        <v>2500</v>
      </c>
      <c r="H114" s="145">
        <f>'Rekapitulacija Posebni dio'!F64</f>
        <v>50.78</v>
      </c>
      <c r="I114" s="602">
        <f t="shared" si="29"/>
        <v>2.0312000000000001</v>
      </c>
      <c r="J114" s="602">
        <f t="shared" si="27"/>
        <v>2.0312000000000001</v>
      </c>
      <c r="K114" s="67"/>
      <c r="L114" s="67"/>
      <c r="M114" s="67"/>
      <c r="N114" s="67"/>
      <c r="O114" s="67"/>
      <c r="P114" s="67"/>
      <c r="Q114" s="67"/>
    </row>
    <row r="115" spans="1:17" s="68" customFormat="1" x14ac:dyDescent="0.25">
      <c r="A115" s="148"/>
      <c r="B115" s="48" t="s">
        <v>527</v>
      </c>
      <c r="C115" s="148"/>
      <c r="D115" s="430" t="s">
        <v>410</v>
      </c>
      <c r="E115" s="145">
        <f>'Rekapitulacija Posebni dio'!C65</f>
        <v>0</v>
      </c>
      <c r="F115" s="145">
        <f>'Rekapitulacija Posebni dio'!D65</f>
        <v>572.28000000000065</v>
      </c>
      <c r="G115" s="145">
        <f>'Rekapitulacija Posebni dio'!E65</f>
        <v>572.28000000000065</v>
      </c>
      <c r="H115" s="145">
        <f>'Rekapitulacija Posebni dio'!F65</f>
        <v>13.26</v>
      </c>
      <c r="I115" s="602">
        <f t="shared" si="29"/>
        <v>2.3170475990773718</v>
      </c>
      <c r="J115" s="602">
        <f t="shared" si="27"/>
        <v>2.3170475990773718</v>
      </c>
      <c r="K115" s="67"/>
      <c r="L115" s="67"/>
      <c r="M115" s="67"/>
      <c r="N115" s="67"/>
      <c r="O115" s="67"/>
      <c r="P115" s="67"/>
      <c r="Q115" s="67"/>
    </row>
    <row r="116" spans="1:17" s="68" customFormat="1" x14ac:dyDescent="0.25">
      <c r="A116" s="148"/>
      <c r="B116" s="149" t="s">
        <v>122</v>
      </c>
      <c r="C116" s="148"/>
      <c r="D116" s="158" t="s">
        <v>123</v>
      </c>
      <c r="E116" s="93">
        <f>SUM(E117)</f>
        <v>5218.32</v>
      </c>
      <c r="F116" s="93">
        <f>SUM(F117)</f>
        <v>6636.14</v>
      </c>
      <c r="G116" s="93">
        <f>SUM(G117)</f>
        <v>6636.14</v>
      </c>
      <c r="H116" s="93">
        <f t="shared" ref="H116" si="36">SUM(H117)</f>
        <v>44.37</v>
      </c>
      <c r="I116" s="602">
        <f t="shared" si="29"/>
        <v>0.6686115723899736</v>
      </c>
      <c r="J116" s="602">
        <f t="shared" si="27"/>
        <v>0.6686115723899736</v>
      </c>
      <c r="K116" s="67"/>
      <c r="L116" s="67"/>
      <c r="M116" s="67"/>
      <c r="N116" s="67"/>
      <c r="O116" s="67"/>
      <c r="P116" s="67"/>
      <c r="Q116" s="67"/>
    </row>
    <row r="117" spans="1:17" s="68" customFormat="1" x14ac:dyDescent="0.25">
      <c r="A117" s="148"/>
      <c r="B117" s="48" t="s">
        <v>486</v>
      </c>
      <c r="C117" s="148"/>
      <c r="D117" s="156" t="s">
        <v>123</v>
      </c>
      <c r="E117" s="145">
        <f>'Rekapitulacija Posebni dio'!C67</f>
        <v>5218.32</v>
      </c>
      <c r="F117" s="145">
        <f>'Rekapitulacija Posebni dio'!D67</f>
        <v>6636.14</v>
      </c>
      <c r="G117" s="145">
        <f>'Rekapitulacija Posebni dio'!E67</f>
        <v>6636.14</v>
      </c>
      <c r="H117" s="145">
        <f>'Rekapitulacija Posebni dio'!F67</f>
        <v>44.37</v>
      </c>
      <c r="I117" s="602">
        <f t="shared" si="29"/>
        <v>0.6686115723899736</v>
      </c>
      <c r="J117" s="602">
        <f t="shared" si="27"/>
        <v>0.6686115723899736</v>
      </c>
      <c r="K117" s="67"/>
      <c r="L117" s="67"/>
      <c r="M117" s="67"/>
      <c r="N117" s="67"/>
      <c r="O117" s="67"/>
      <c r="P117" s="67"/>
      <c r="Q117" s="67"/>
    </row>
    <row r="118" spans="1:17" s="68" customFormat="1" x14ac:dyDescent="0.25">
      <c r="A118" s="148"/>
      <c r="B118" s="149" t="s">
        <v>124</v>
      </c>
      <c r="C118" s="148"/>
      <c r="D118" s="158" t="s">
        <v>125</v>
      </c>
      <c r="E118" s="93">
        <f>SUM(E119)</f>
        <v>3339.92</v>
      </c>
      <c r="F118" s="93">
        <f>SUM(F119)</f>
        <v>9290.6</v>
      </c>
      <c r="G118" s="93">
        <f>SUM(G119)</f>
        <v>9290.6</v>
      </c>
      <c r="H118" s="93">
        <f t="shared" ref="H118" si="37">SUM(H119)</f>
        <v>2002.5</v>
      </c>
      <c r="I118" s="602">
        <f t="shared" si="29"/>
        <v>21.554043872301033</v>
      </c>
      <c r="J118" s="602">
        <f t="shared" si="27"/>
        <v>21.554043872301033</v>
      </c>
      <c r="K118" s="67"/>
      <c r="L118" s="67"/>
      <c r="M118" s="67"/>
      <c r="N118" s="67"/>
      <c r="O118" s="67"/>
      <c r="P118" s="67"/>
      <c r="Q118" s="67"/>
    </row>
    <row r="119" spans="1:17" s="68" customFormat="1" x14ac:dyDescent="0.25">
      <c r="A119" s="148"/>
      <c r="B119" s="48" t="s">
        <v>487</v>
      </c>
      <c r="C119" s="148"/>
      <c r="D119" s="156" t="s">
        <v>125</v>
      </c>
      <c r="E119" s="145">
        <f>'Rekapitulacija Posebni dio'!C69</f>
        <v>3339.92</v>
      </c>
      <c r="F119" s="145">
        <f>'Rekapitulacija Posebni dio'!D69</f>
        <v>9290.6</v>
      </c>
      <c r="G119" s="145">
        <f>'Rekapitulacija Posebni dio'!E69</f>
        <v>9290.6</v>
      </c>
      <c r="H119" s="145">
        <f>'Rekapitulacija Posebni dio'!F69</f>
        <v>2002.5</v>
      </c>
      <c r="I119" s="602">
        <f t="shared" si="29"/>
        <v>21.554043872301033</v>
      </c>
      <c r="J119" s="602">
        <f t="shared" si="27"/>
        <v>21.554043872301033</v>
      </c>
      <c r="K119" s="67"/>
      <c r="L119" s="67"/>
      <c r="M119" s="67"/>
      <c r="N119" s="67"/>
      <c r="O119" s="67"/>
      <c r="P119" s="67"/>
      <c r="Q119" s="67"/>
    </row>
    <row r="120" spans="1:17" s="68" customFormat="1" x14ac:dyDescent="0.25">
      <c r="A120" s="148"/>
      <c r="B120" s="149" t="s">
        <v>126</v>
      </c>
      <c r="C120" s="148"/>
      <c r="D120" s="158" t="s">
        <v>127</v>
      </c>
      <c r="E120" s="93">
        <f>E121+E125+E129+E131+E136+E138+E140+E145+E147</f>
        <v>105828.54999999999</v>
      </c>
      <c r="F120" s="93">
        <f>F121+F125+F129+F131+F136+F138+F140+F145+F147</f>
        <v>238863.46000000002</v>
      </c>
      <c r="G120" s="93">
        <f>G121+G125+G129+G131+G136+G138+G140+G145+G147</f>
        <v>240863.46000000002</v>
      </c>
      <c r="H120" s="93">
        <f t="shared" ref="H120" si="38">H121+H125+H129+H131+H136+H138+H140+H145+H147</f>
        <v>99083.72</v>
      </c>
      <c r="I120" s="602">
        <f t="shared" si="29"/>
        <v>41.481321588492435</v>
      </c>
      <c r="J120" s="602">
        <f t="shared" si="27"/>
        <v>41.136883112116713</v>
      </c>
      <c r="K120" s="67"/>
      <c r="L120" s="67"/>
      <c r="M120" s="67"/>
      <c r="N120" s="67"/>
      <c r="O120" s="67"/>
      <c r="P120" s="67"/>
      <c r="Q120" s="67"/>
    </row>
    <row r="121" spans="1:17" s="68" customFormat="1" x14ac:dyDescent="0.25">
      <c r="A121" s="148"/>
      <c r="B121" s="149" t="s">
        <v>128</v>
      </c>
      <c r="C121" s="148"/>
      <c r="D121" s="479" t="s">
        <v>129</v>
      </c>
      <c r="E121" s="93">
        <f>SUM(E122:E124)</f>
        <v>10203.15</v>
      </c>
      <c r="F121" s="93">
        <f>SUM(F122:F124)</f>
        <v>21235.65</v>
      </c>
      <c r="G121" s="93">
        <f>SUM(G122:G124)</f>
        <v>23235.65</v>
      </c>
      <c r="H121" s="93">
        <f t="shared" ref="H121" si="39">SUM(H122:H124)</f>
        <v>8219.7200000000012</v>
      </c>
      <c r="I121" s="602">
        <f t="shared" si="29"/>
        <v>38.707174021044807</v>
      </c>
      <c r="J121" s="602">
        <f t="shared" si="27"/>
        <v>35.37546829978934</v>
      </c>
      <c r="K121" s="67"/>
      <c r="L121" s="67"/>
      <c r="M121" s="67"/>
      <c r="N121" s="67"/>
      <c r="O121" s="67"/>
      <c r="P121" s="67"/>
      <c r="Q121" s="67"/>
    </row>
    <row r="122" spans="1:17" s="68" customFormat="1" x14ac:dyDescent="0.25">
      <c r="A122" s="148"/>
      <c r="B122" s="48" t="s">
        <v>488</v>
      </c>
      <c r="C122" s="148"/>
      <c r="D122" s="430" t="s">
        <v>411</v>
      </c>
      <c r="E122" s="50">
        <f>'Rekapitulacija Posebni dio'!C72</f>
        <v>9912.67</v>
      </c>
      <c r="F122" s="50">
        <f>'Rekapitulacija Posebni dio'!D72</f>
        <v>19500</v>
      </c>
      <c r="G122" s="50">
        <f>'Rekapitulacija Posebni dio'!E72</f>
        <v>19500</v>
      </c>
      <c r="H122" s="50">
        <f>'Rekapitulacija Posebni dio'!F72</f>
        <v>7684.7000000000007</v>
      </c>
      <c r="I122" s="602">
        <f t="shared" si="29"/>
        <v>39.40871794871795</v>
      </c>
      <c r="J122" s="602">
        <f t="shared" si="27"/>
        <v>39.40871794871795</v>
      </c>
      <c r="K122" s="67"/>
      <c r="L122" s="67"/>
      <c r="M122" s="67"/>
      <c r="N122" s="67"/>
      <c r="O122" s="67"/>
      <c r="P122" s="67"/>
      <c r="Q122" s="67"/>
    </row>
    <row r="123" spans="1:17" s="68" customFormat="1" x14ac:dyDescent="0.25">
      <c r="A123" s="148"/>
      <c r="B123" s="48" t="s">
        <v>489</v>
      </c>
      <c r="C123" s="148"/>
      <c r="D123" s="430" t="s">
        <v>412</v>
      </c>
      <c r="E123" s="145">
        <f>'Rekapitulacija Posebni dio'!C73</f>
        <v>290.48</v>
      </c>
      <c r="F123" s="145">
        <f>'Rekapitulacija Posebni dio'!D73</f>
        <v>1735.6500000000015</v>
      </c>
      <c r="G123" s="145">
        <f>'Rekapitulacija Posebni dio'!E73</f>
        <v>1735.65</v>
      </c>
      <c r="H123" s="145">
        <f>'Rekapitulacija Posebni dio'!F73</f>
        <v>297.52</v>
      </c>
      <c r="I123" s="602">
        <f t="shared" si="29"/>
        <v>17.141704836804639</v>
      </c>
      <c r="J123" s="602">
        <f t="shared" si="27"/>
        <v>17.141704836804653</v>
      </c>
      <c r="L123" s="67"/>
      <c r="M123" s="67"/>
      <c r="N123" s="67"/>
      <c r="O123" s="67"/>
      <c r="P123" s="67"/>
      <c r="Q123" s="67"/>
    </row>
    <row r="124" spans="1:17" s="68" customFormat="1" x14ac:dyDescent="0.25">
      <c r="A124" s="148"/>
      <c r="B124" s="48" t="s">
        <v>591</v>
      </c>
      <c r="C124" s="148"/>
      <c r="D124" s="430" t="s">
        <v>592</v>
      </c>
      <c r="E124" s="145">
        <f>'Rekapitulacija Posebni dio'!C74</f>
        <v>0</v>
      </c>
      <c r="F124" s="145">
        <f>'Rekapitulacija Posebni dio'!D74</f>
        <v>0</v>
      </c>
      <c r="G124" s="145">
        <f>'Rekapitulacija Posebni dio'!E74</f>
        <v>2000</v>
      </c>
      <c r="H124" s="145">
        <f>'Rekapitulacija Posebni dio'!F74</f>
        <v>237.5</v>
      </c>
      <c r="I124" s="602" t="e">
        <f t="shared" si="29"/>
        <v>#DIV/0!</v>
      </c>
      <c r="J124" s="602">
        <f t="shared" si="27"/>
        <v>11.875</v>
      </c>
      <c r="L124" s="67"/>
      <c r="M124" s="67"/>
      <c r="N124" s="67"/>
      <c r="O124" s="67"/>
      <c r="P124" s="67"/>
      <c r="Q124" s="67"/>
    </row>
    <row r="125" spans="1:17" s="68" customFormat="1" x14ac:dyDescent="0.25">
      <c r="A125" s="148"/>
      <c r="B125" s="149" t="s">
        <v>130</v>
      </c>
      <c r="C125" s="148"/>
      <c r="D125" s="158" t="s">
        <v>131</v>
      </c>
      <c r="E125" s="93">
        <f>SUM(E126:E128)</f>
        <v>12829.02</v>
      </c>
      <c r="F125" s="93">
        <f>SUM(F126:F128)</f>
        <v>21053.72</v>
      </c>
      <c r="G125" s="93">
        <f>SUM(G126:G128)</f>
        <v>21053.72</v>
      </c>
      <c r="H125" s="93">
        <f t="shared" ref="H125" si="40">SUM(H126:H128)</f>
        <v>11686.5</v>
      </c>
      <c r="I125" s="602">
        <f t="shared" si="29"/>
        <v>55.508005236129286</v>
      </c>
      <c r="J125" s="602">
        <f t="shared" si="27"/>
        <v>55.508005236129286</v>
      </c>
      <c r="L125" s="67"/>
      <c r="M125" s="67"/>
      <c r="N125" s="67"/>
      <c r="O125" s="67"/>
      <c r="P125" s="67"/>
      <c r="Q125" s="67"/>
    </row>
    <row r="126" spans="1:17" s="68" customFormat="1" x14ac:dyDescent="0.25">
      <c r="A126" s="148"/>
      <c r="B126" s="48" t="s">
        <v>512</v>
      </c>
      <c r="C126" s="148"/>
      <c r="D126" s="430" t="s">
        <v>414</v>
      </c>
      <c r="E126" s="145">
        <f>'Rekapitulacija Posebni dio'!C76</f>
        <v>1938.69</v>
      </c>
      <c r="F126" s="145">
        <f>'Rekapitulacija Posebni dio'!D76</f>
        <v>10500</v>
      </c>
      <c r="G126" s="145">
        <f>'Rekapitulacija Posebni dio'!E76</f>
        <v>10500</v>
      </c>
      <c r="H126" s="145">
        <f>'Rekapitulacija Posebni dio'!F76</f>
        <v>4932.8100000000013</v>
      </c>
      <c r="I126" s="602">
        <f t="shared" si="29"/>
        <v>46.979142857142868</v>
      </c>
      <c r="J126" s="602">
        <f t="shared" si="27"/>
        <v>46.979142857142868</v>
      </c>
      <c r="L126" s="67"/>
      <c r="M126" s="67"/>
      <c r="N126" s="67"/>
      <c r="O126" s="67"/>
      <c r="P126" s="67"/>
      <c r="Q126" s="67"/>
    </row>
    <row r="127" spans="1:17" s="68" customFormat="1" x14ac:dyDescent="0.25">
      <c r="A127" s="148"/>
      <c r="B127" s="48" t="s">
        <v>513</v>
      </c>
      <c r="C127" s="148"/>
      <c r="D127" s="430" t="s">
        <v>415</v>
      </c>
      <c r="E127" s="145">
        <f>'Rekapitulacija Posebni dio'!C77</f>
        <v>2476.21</v>
      </c>
      <c r="F127" s="145">
        <f>'Rekapitulacija Posebni dio'!D77</f>
        <v>6500</v>
      </c>
      <c r="G127" s="145">
        <f>'Rekapitulacija Posebni dio'!E77</f>
        <v>6500</v>
      </c>
      <c r="H127" s="145">
        <f>'Rekapitulacija Posebni dio'!F77</f>
        <v>1913.62</v>
      </c>
      <c r="I127" s="602">
        <f t="shared" si="29"/>
        <v>29.440307692307695</v>
      </c>
      <c r="J127" s="602">
        <f t="shared" si="27"/>
        <v>29.440307692307695</v>
      </c>
      <c r="L127" s="67"/>
      <c r="M127" s="67"/>
      <c r="N127" s="67"/>
      <c r="O127" s="67"/>
      <c r="P127" s="67"/>
      <c r="Q127" s="67"/>
    </row>
    <row r="128" spans="1:17" s="68" customFormat="1" x14ac:dyDescent="0.25">
      <c r="A128" s="148"/>
      <c r="B128" s="48" t="s">
        <v>514</v>
      </c>
      <c r="C128" s="148"/>
      <c r="D128" s="430" t="s">
        <v>413</v>
      </c>
      <c r="E128" s="145">
        <f>'Rekapitulacija Posebni dio'!C78</f>
        <v>8414.1200000000008</v>
      </c>
      <c r="F128" s="145">
        <f>'Rekapitulacija Posebni dio'!D78</f>
        <v>4053.7200000000012</v>
      </c>
      <c r="G128" s="145">
        <f>'Rekapitulacija Posebni dio'!E78</f>
        <v>4053.7200000000012</v>
      </c>
      <c r="H128" s="145">
        <f>'Rekapitulacija Posebni dio'!F78</f>
        <v>4840.07</v>
      </c>
      <c r="I128" s="602">
        <f t="shared" si="29"/>
        <v>119.3982317476293</v>
      </c>
      <c r="J128" s="602">
        <f t="shared" si="27"/>
        <v>119.3982317476293</v>
      </c>
      <c r="K128" s="67"/>
      <c r="L128" s="67"/>
      <c r="M128" s="67"/>
      <c r="N128" s="67"/>
      <c r="O128" s="67"/>
      <c r="P128" s="67"/>
      <c r="Q128" s="67"/>
    </row>
    <row r="129" spans="1:17" s="68" customFormat="1" x14ac:dyDescent="0.25">
      <c r="A129" s="148"/>
      <c r="B129" s="149" t="s">
        <v>132</v>
      </c>
      <c r="C129" s="148"/>
      <c r="D129" s="158" t="s">
        <v>133</v>
      </c>
      <c r="E129" s="93">
        <f>SUM(E130)</f>
        <v>0</v>
      </c>
      <c r="F129" s="93">
        <f>SUM(F130)</f>
        <v>663.61</v>
      </c>
      <c r="G129" s="93">
        <f>SUM(G130)</f>
        <v>663.61</v>
      </c>
      <c r="H129" s="93">
        <f t="shared" ref="H129" si="41">SUM(H130)</f>
        <v>0</v>
      </c>
      <c r="I129" s="602">
        <f t="shared" si="29"/>
        <v>0</v>
      </c>
      <c r="J129" s="602">
        <f t="shared" si="27"/>
        <v>0</v>
      </c>
      <c r="K129" s="67"/>
      <c r="L129" s="67"/>
      <c r="M129" s="67"/>
      <c r="N129" s="67"/>
      <c r="O129" s="67"/>
      <c r="P129" s="67"/>
      <c r="Q129" s="67"/>
    </row>
    <row r="130" spans="1:17" s="68" customFormat="1" x14ac:dyDescent="0.25">
      <c r="A130" s="148"/>
      <c r="B130" s="48" t="s">
        <v>490</v>
      </c>
      <c r="C130" s="148"/>
      <c r="D130" s="156" t="s">
        <v>133</v>
      </c>
      <c r="E130" s="145">
        <f>'Rekapitulacija Posebni dio'!C80</f>
        <v>0</v>
      </c>
      <c r="F130" s="145">
        <f>'Rekapitulacija Posebni dio'!D80</f>
        <v>663.61</v>
      </c>
      <c r="G130" s="145">
        <f>'Rekapitulacija Posebni dio'!E80</f>
        <v>663.61</v>
      </c>
      <c r="H130" s="145">
        <f>'Rekapitulacija Posebni dio'!F80</f>
        <v>0</v>
      </c>
      <c r="I130" s="602">
        <f t="shared" si="29"/>
        <v>0</v>
      </c>
      <c r="J130" s="602">
        <f t="shared" si="27"/>
        <v>0</v>
      </c>
      <c r="K130" s="67"/>
      <c r="L130" s="67"/>
      <c r="M130" s="67"/>
      <c r="N130" s="67"/>
      <c r="O130" s="67"/>
      <c r="P130" s="67"/>
      <c r="Q130" s="67"/>
    </row>
    <row r="131" spans="1:17" s="68" customFormat="1" x14ac:dyDescent="0.25">
      <c r="A131" s="148"/>
      <c r="B131" s="185" t="s">
        <v>134</v>
      </c>
      <c r="C131" s="61"/>
      <c r="D131" s="533" t="s">
        <v>135</v>
      </c>
      <c r="E131" s="93">
        <f>SUM(E132:E135)</f>
        <v>12945.85</v>
      </c>
      <c r="F131" s="93">
        <f>SUM(F132:F135)</f>
        <v>19908.419999999998</v>
      </c>
      <c r="G131" s="93">
        <f>SUM(G132:G135)</f>
        <v>19908.419999999998</v>
      </c>
      <c r="H131" s="93">
        <f t="shared" ref="H131" si="42">SUM(H132:H135)</f>
        <v>12131.780000000002</v>
      </c>
      <c r="I131" s="602">
        <f t="shared" si="29"/>
        <v>60.93793480346509</v>
      </c>
      <c r="J131" s="602">
        <f t="shared" si="27"/>
        <v>60.93793480346509</v>
      </c>
      <c r="K131" s="67"/>
      <c r="L131" s="67"/>
      <c r="M131" s="67"/>
      <c r="N131" s="67"/>
      <c r="O131" s="67"/>
      <c r="P131" s="67"/>
      <c r="Q131" s="67"/>
    </row>
    <row r="132" spans="1:17" s="68" customFormat="1" x14ac:dyDescent="0.25">
      <c r="A132" s="148"/>
      <c r="B132" s="48" t="s">
        <v>528</v>
      </c>
      <c r="C132" s="148"/>
      <c r="D132" s="430" t="s">
        <v>417</v>
      </c>
      <c r="E132" s="145">
        <f>'Rekapitulacija Posebni dio'!C82</f>
        <v>3442.95</v>
      </c>
      <c r="F132" s="145">
        <f>'Rekapitulacija Posebni dio'!D82</f>
        <v>7500</v>
      </c>
      <c r="G132" s="145">
        <f>'Rekapitulacija Posebni dio'!E82</f>
        <v>7500</v>
      </c>
      <c r="H132" s="145">
        <f>'Rekapitulacija Posebni dio'!F82</f>
        <v>3108.69</v>
      </c>
      <c r="I132" s="602">
        <f t="shared" si="29"/>
        <v>41.449200000000005</v>
      </c>
      <c r="J132" s="602">
        <f t="shared" si="27"/>
        <v>41.449200000000005</v>
      </c>
      <c r="K132" s="67"/>
      <c r="L132" s="67"/>
      <c r="M132" s="67"/>
      <c r="N132" s="67"/>
      <c r="O132" s="67"/>
      <c r="P132" s="67"/>
      <c r="Q132" s="67"/>
    </row>
    <row r="133" spans="1:17" s="68" customFormat="1" x14ac:dyDescent="0.25">
      <c r="A133" s="148"/>
      <c r="B133" s="48" t="s">
        <v>529</v>
      </c>
      <c r="C133" s="148"/>
      <c r="D133" s="430" t="s">
        <v>418</v>
      </c>
      <c r="E133" s="145">
        <f>'Rekapitulacija Posebni dio'!C83</f>
        <v>7625.68</v>
      </c>
      <c r="F133" s="145">
        <f>'Rekapitulacija Posebni dio'!D83</f>
        <v>10500</v>
      </c>
      <c r="G133" s="145">
        <f>'Rekapitulacija Posebni dio'!E83</f>
        <v>10500</v>
      </c>
      <c r="H133" s="145">
        <f>'Rekapitulacija Posebni dio'!F83</f>
        <v>8714.6400000000012</v>
      </c>
      <c r="I133" s="602">
        <f t="shared" si="29"/>
        <v>82.996571428571443</v>
      </c>
      <c r="J133" s="602">
        <f t="shared" si="27"/>
        <v>82.996571428571443</v>
      </c>
      <c r="K133" s="67"/>
      <c r="L133" s="67"/>
      <c r="M133" s="67"/>
      <c r="N133" s="67"/>
      <c r="O133" s="67"/>
      <c r="P133" s="67"/>
      <c r="Q133" s="67"/>
    </row>
    <row r="134" spans="1:17" s="68" customFormat="1" x14ac:dyDescent="0.25">
      <c r="A134" s="148"/>
      <c r="B134" s="48" t="s">
        <v>530</v>
      </c>
      <c r="C134" s="148"/>
      <c r="D134" s="430" t="s">
        <v>419</v>
      </c>
      <c r="E134" s="145">
        <f>'Rekapitulacija Posebni dio'!C84</f>
        <v>790.65</v>
      </c>
      <c r="F134" s="145">
        <f>'Rekapitulacija Posebni dio'!D84</f>
        <v>1500</v>
      </c>
      <c r="G134" s="145">
        <f>'Rekapitulacija Posebni dio'!E84</f>
        <v>1500</v>
      </c>
      <c r="H134" s="145">
        <f>'Rekapitulacija Posebni dio'!F84</f>
        <v>0</v>
      </c>
      <c r="I134" s="602">
        <f t="shared" si="29"/>
        <v>0</v>
      </c>
      <c r="J134" s="602">
        <f t="shared" si="27"/>
        <v>0</v>
      </c>
      <c r="K134" s="67"/>
      <c r="L134" s="67"/>
      <c r="M134" s="67"/>
      <c r="N134" s="67"/>
      <c r="O134" s="67"/>
      <c r="P134" s="67"/>
      <c r="Q134" s="67"/>
    </row>
    <row r="135" spans="1:17" s="68" customFormat="1" x14ac:dyDescent="0.25">
      <c r="A135" s="148"/>
      <c r="B135" s="82">
        <v>32349</v>
      </c>
      <c r="C135" s="21"/>
      <c r="D135" s="433" t="s">
        <v>420</v>
      </c>
      <c r="E135" s="145">
        <f>'Rekapitulacija Posebni dio'!C85</f>
        <v>1086.57</v>
      </c>
      <c r="F135" s="145">
        <f>'Rekapitulacija Posebni dio'!D85</f>
        <v>408.41999999999825</v>
      </c>
      <c r="G135" s="145">
        <f>'Rekapitulacija Posebni dio'!E85</f>
        <v>408.41999999999825</v>
      </c>
      <c r="H135" s="145">
        <f>'Rekapitulacija Posebni dio'!F85</f>
        <v>308.45</v>
      </c>
      <c r="I135" s="602">
        <f t="shared" si="29"/>
        <v>75.522746192645158</v>
      </c>
      <c r="J135" s="602">
        <f t="shared" si="27"/>
        <v>75.522746192645158</v>
      </c>
      <c r="K135" s="67"/>
      <c r="L135" s="67"/>
      <c r="M135" s="67"/>
      <c r="N135" s="67"/>
      <c r="O135" s="67"/>
      <c r="P135" s="67"/>
      <c r="Q135" s="67"/>
    </row>
    <row r="136" spans="1:17" s="68" customFormat="1" x14ac:dyDescent="0.25">
      <c r="A136" s="148"/>
      <c r="B136" s="185">
        <v>3235</v>
      </c>
      <c r="C136" s="61"/>
      <c r="D136" s="533" t="s">
        <v>136</v>
      </c>
      <c r="E136" s="93">
        <f>SUM(E137)</f>
        <v>0</v>
      </c>
      <c r="F136" s="93">
        <f>SUM(F137)</f>
        <v>132.72</v>
      </c>
      <c r="G136" s="93">
        <f>SUM(G137)</f>
        <v>132.72</v>
      </c>
      <c r="H136" s="93">
        <f t="shared" ref="H136" si="43">SUM(H137)</f>
        <v>0</v>
      </c>
      <c r="I136" s="602">
        <f t="shared" si="29"/>
        <v>0</v>
      </c>
      <c r="J136" s="602">
        <f t="shared" si="27"/>
        <v>0</v>
      </c>
      <c r="K136" s="67"/>
      <c r="L136" s="67"/>
      <c r="M136" s="67"/>
      <c r="N136" s="67"/>
      <c r="O136" s="67"/>
      <c r="P136" s="67"/>
      <c r="Q136" s="67"/>
    </row>
    <row r="137" spans="1:17" s="68" customFormat="1" x14ac:dyDescent="0.25">
      <c r="A137" s="148"/>
      <c r="B137" s="82">
        <v>32359</v>
      </c>
      <c r="C137" s="21"/>
      <c r="D137" s="159" t="s">
        <v>136</v>
      </c>
      <c r="E137" s="145">
        <f>'Rekapitulacija Posebni dio'!C87</f>
        <v>0</v>
      </c>
      <c r="F137" s="145">
        <f>'Rekapitulacija Posebni dio'!D87</f>
        <v>132.72</v>
      </c>
      <c r="G137" s="145">
        <f>'Rekapitulacija Posebni dio'!E87</f>
        <v>132.72</v>
      </c>
      <c r="H137" s="145">
        <f>'Rekapitulacija Posebni dio'!F87</f>
        <v>0</v>
      </c>
      <c r="I137" s="602">
        <f t="shared" si="29"/>
        <v>0</v>
      </c>
      <c r="J137" s="602">
        <f t="shared" si="27"/>
        <v>0</v>
      </c>
      <c r="K137" s="67"/>
      <c r="L137" s="67"/>
      <c r="M137" s="67"/>
      <c r="N137" s="67"/>
      <c r="O137" s="67"/>
      <c r="P137" s="67"/>
      <c r="Q137" s="67"/>
    </row>
    <row r="138" spans="1:17" s="68" customFormat="1" x14ac:dyDescent="0.25">
      <c r="A138" s="148"/>
      <c r="B138" s="185">
        <v>3236</v>
      </c>
      <c r="C138" s="61"/>
      <c r="D138" s="533" t="s">
        <v>137</v>
      </c>
      <c r="E138" s="93">
        <f>SUM(E139)</f>
        <v>14279.52</v>
      </c>
      <c r="F138" s="93">
        <f>SUM(F139)</f>
        <v>22562.880000000001</v>
      </c>
      <c r="G138" s="93">
        <f>SUM(G139)</f>
        <v>22562.880000000001</v>
      </c>
      <c r="H138" s="93">
        <f t="shared" ref="H138" si="44">SUM(H139)</f>
        <v>21035.95</v>
      </c>
      <c r="I138" s="602">
        <f t="shared" si="29"/>
        <v>93.232557191280534</v>
      </c>
      <c r="J138" s="602">
        <f t="shared" si="27"/>
        <v>93.232557191280534</v>
      </c>
      <c r="K138" s="67"/>
      <c r="L138" s="67"/>
      <c r="M138" s="67"/>
      <c r="N138" s="67"/>
      <c r="O138" s="67"/>
      <c r="P138" s="67"/>
      <c r="Q138" s="67"/>
    </row>
    <row r="139" spans="1:17" s="68" customFormat="1" x14ac:dyDescent="0.25">
      <c r="A139" s="148"/>
      <c r="B139" s="82">
        <v>32369</v>
      </c>
      <c r="C139" s="21"/>
      <c r="D139" s="159" t="s">
        <v>137</v>
      </c>
      <c r="E139" s="145">
        <f>'Rekapitulacija Posebni dio'!C89</f>
        <v>14279.52</v>
      </c>
      <c r="F139" s="145">
        <f>'Rekapitulacija Posebni dio'!D89</f>
        <v>22562.880000000001</v>
      </c>
      <c r="G139" s="145">
        <f>'Rekapitulacija Posebni dio'!E89</f>
        <v>22562.880000000001</v>
      </c>
      <c r="H139" s="145">
        <f>'Rekapitulacija Posebni dio'!F89</f>
        <v>21035.95</v>
      </c>
      <c r="I139" s="602">
        <f t="shared" si="29"/>
        <v>93.232557191280534</v>
      </c>
      <c r="J139" s="602">
        <f t="shared" si="27"/>
        <v>93.232557191280534</v>
      </c>
      <c r="K139" s="67"/>
      <c r="L139" s="67"/>
      <c r="M139" s="67"/>
      <c r="N139" s="67"/>
      <c r="O139" s="67"/>
      <c r="P139" s="67"/>
      <c r="Q139" s="67"/>
    </row>
    <row r="140" spans="1:17" s="68" customFormat="1" x14ac:dyDescent="0.25">
      <c r="A140" s="148"/>
      <c r="B140" s="185">
        <v>3237</v>
      </c>
      <c r="C140" s="61"/>
      <c r="D140" s="533" t="s">
        <v>138</v>
      </c>
      <c r="E140" s="93">
        <f>SUM(E141:E144)</f>
        <v>43446.85</v>
      </c>
      <c r="F140" s="93">
        <f>SUM(F141:F144)</f>
        <v>110480.46</v>
      </c>
      <c r="G140" s="93">
        <f>SUM(G141:G144)</f>
        <v>110480.46</v>
      </c>
      <c r="H140" s="93">
        <f>SUM(H141:H144)</f>
        <v>40387.370000000003</v>
      </c>
      <c r="I140" s="602">
        <f t="shared" si="29"/>
        <v>36.556120421656466</v>
      </c>
      <c r="J140" s="602">
        <f t="shared" si="27"/>
        <v>36.556120421656466</v>
      </c>
      <c r="K140" s="67"/>
      <c r="L140" s="67"/>
      <c r="M140" s="67"/>
      <c r="N140" s="67"/>
      <c r="O140" s="67"/>
      <c r="P140" s="67"/>
      <c r="Q140" s="67"/>
    </row>
    <row r="141" spans="1:17" s="68" customFormat="1" x14ac:dyDescent="0.25">
      <c r="A141" s="148"/>
      <c r="B141" s="82">
        <v>32372</v>
      </c>
      <c r="C141" s="21"/>
      <c r="D141" s="159" t="s">
        <v>423</v>
      </c>
      <c r="E141" s="145">
        <f>'Rekapitulacija Posebni dio'!C91</f>
        <v>34014.57</v>
      </c>
      <c r="F141" s="145">
        <f>'Rekapitulacija Posebni dio'!D91</f>
        <v>94500</v>
      </c>
      <c r="G141" s="145">
        <f>'Rekapitulacija Posebni dio'!E91</f>
        <v>94500</v>
      </c>
      <c r="H141" s="145">
        <f>'Rekapitulacija Posebni dio'!F91</f>
        <v>32093.620000000003</v>
      </c>
      <c r="I141" s="602">
        <f t="shared" si="29"/>
        <v>33.961502645502648</v>
      </c>
      <c r="J141" s="602">
        <f t="shared" si="27"/>
        <v>33.961502645502648</v>
      </c>
      <c r="K141" s="67"/>
      <c r="L141" s="67"/>
      <c r="M141" s="67"/>
      <c r="N141" s="67"/>
      <c r="O141" s="67"/>
      <c r="P141" s="67"/>
      <c r="Q141" s="67"/>
    </row>
    <row r="142" spans="1:17" s="68" customFormat="1" x14ac:dyDescent="0.25">
      <c r="A142" s="148"/>
      <c r="B142" s="82">
        <v>32373</v>
      </c>
      <c r="C142" s="21"/>
      <c r="D142" s="159" t="s">
        <v>531</v>
      </c>
      <c r="E142" s="145">
        <f>'Rekapitulacija Posebni dio'!C92</f>
        <v>9382.2800000000007</v>
      </c>
      <c r="F142" s="145">
        <f>'Rekapitulacija Posebni dio'!D92</f>
        <v>12000</v>
      </c>
      <c r="G142" s="145">
        <f>'Rekapitulacija Posebni dio'!E92</f>
        <v>12000</v>
      </c>
      <c r="H142" s="145">
        <f>'Rekapitulacija Posebni dio'!F92</f>
        <v>7500</v>
      </c>
      <c r="I142" s="602">
        <f t="shared" si="29"/>
        <v>62.5</v>
      </c>
      <c r="J142" s="602">
        <f t="shared" si="27"/>
        <v>62.5</v>
      </c>
      <c r="K142" s="67"/>
      <c r="L142" s="67"/>
      <c r="M142" s="67"/>
      <c r="N142" s="67"/>
      <c r="O142" s="67"/>
      <c r="P142" s="67"/>
      <c r="Q142" s="67"/>
    </row>
    <row r="143" spans="1:17" s="68" customFormat="1" x14ac:dyDescent="0.25">
      <c r="A143" s="148"/>
      <c r="B143" s="82">
        <v>32375</v>
      </c>
      <c r="C143" s="21"/>
      <c r="D143" s="159" t="s">
        <v>593</v>
      </c>
      <c r="E143" s="145">
        <f>'Rekapitulacija Posebni dio'!C93</f>
        <v>0</v>
      </c>
      <c r="F143" s="145">
        <f>'Rekapitulacija Posebni dio'!D93</f>
        <v>0</v>
      </c>
      <c r="G143" s="145">
        <f>'Rekapitulacija Posebni dio'!E93</f>
        <v>0</v>
      </c>
      <c r="H143" s="145">
        <f>'Rekapitulacija Posebni dio'!F93</f>
        <v>0</v>
      </c>
      <c r="I143" s="602" t="e">
        <f t="shared" si="29"/>
        <v>#DIV/0!</v>
      </c>
      <c r="J143" s="602" t="e">
        <f t="shared" si="27"/>
        <v>#DIV/0!</v>
      </c>
      <c r="K143" s="67"/>
      <c r="L143" s="67"/>
      <c r="M143" s="67"/>
      <c r="N143" s="67"/>
      <c r="O143" s="67"/>
      <c r="P143" s="67"/>
      <c r="Q143" s="67"/>
    </row>
    <row r="144" spans="1:17" s="68" customFormat="1" x14ac:dyDescent="0.25">
      <c r="A144" s="148"/>
      <c r="B144" s="82">
        <v>32379</v>
      </c>
      <c r="C144" s="21"/>
      <c r="D144" s="159" t="s">
        <v>491</v>
      </c>
      <c r="E144" s="145">
        <f>'Rekapitulacija Posebni dio'!C94</f>
        <v>50</v>
      </c>
      <c r="F144" s="145">
        <f>'Rekapitulacija Posebni dio'!D94</f>
        <v>3980.4600000000064</v>
      </c>
      <c r="G144" s="145">
        <f>'Rekapitulacija Posebni dio'!E94</f>
        <v>3980.46</v>
      </c>
      <c r="H144" s="145">
        <f>'Rekapitulacija Posebni dio'!F94</f>
        <v>793.75</v>
      </c>
      <c r="I144" s="602">
        <f t="shared" si="29"/>
        <v>19.941162579199357</v>
      </c>
      <c r="J144" s="602">
        <f t="shared" si="27"/>
        <v>19.941162579199389</v>
      </c>
      <c r="K144" s="67"/>
      <c r="L144" s="67"/>
      <c r="M144" s="67"/>
      <c r="N144" s="67"/>
      <c r="O144" s="67"/>
      <c r="P144" s="67"/>
      <c r="Q144" s="67"/>
    </row>
    <row r="145" spans="1:17" s="68" customFormat="1" x14ac:dyDescent="0.25">
      <c r="A145" s="148"/>
      <c r="B145" s="185" t="s">
        <v>139</v>
      </c>
      <c r="C145" s="61"/>
      <c r="D145" s="533" t="s">
        <v>140</v>
      </c>
      <c r="E145" s="93">
        <f>SUM(E146)</f>
        <v>4281.49</v>
      </c>
      <c r="F145" s="93">
        <f>SUM(F146)</f>
        <v>18581.189999999999</v>
      </c>
      <c r="G145" s="93">
        <f>SUM(G146)</f>
        <v>18581.189999999999</v>
      </c>
      <c r="H145" s="93">
        <f t="shared" ref="H145" si="45">SUM(H146)</f>
        <v>3944.25</v>
      </c>
      <c r="I145" s="602">
        <f t="shared" si="29"/>
        <v>21.227111934165681</v>
      </c>
      <c r="J145" s="602">
        <f t="shared" si="27"/>
        <v>21.227111934165681</v>
      </c>
      <c r="K145" s="67"/>
      <c r="L145" s="67"/>
      <c r="M145" s="67"/>
      <c r="N145" s="67"/>
      <c r="O145" s="67"/>
      <c r="P145" s="67"/>
      <c r="Q145" s="67"/>
    </row>
    <row r="146" spans="1:17" s="68" customFormat="1" x14ac:dyDescent="0.25">
      <c r="A146" s="148"/>
      <c r="B146" s="82">
        <v>32389</v>
      </c>
      <c r="C146" s="21"/>
      <c r="D146" s="159" t="s">
        <v>140</v>
      </c>
      <c r="E146" s="145">
        <f>'Rekapitulacija Posebni dio'!C96</f>
        <v>4281.49</v>
      </c>
      <c r="F146" s="145">
        <f>'Rekapitulacija Posebni dio'!D96</f>
        <v>18581.189999999999</v>
      </c>
      <c r="G146" s="145">
        <f>'Rekapitulacija Posebni dio'!E96</f>
        <v>18581.189999999999</v>
      </c>
      <c r="H146" s="145">
        <f>'Rekapitulacija Posebni dio'!F96</f>
        <v>3944.25</v>
      </c>
      <c r="I146" s="602">
        <f t="shared" si="29"/>
        <v>21.227111934165681</v>
      </c>
      <c r="J146" s="602">
        <f t="shared" si="27"/>
        <v>21.227111934165681</v>
      </c>
      <c r="K146" s="67"/>
      <c r="L146" s="67"/>
      <c r="M146" s="67"/>
      <c r="N146" s="67"/>
      <c r="O146" s="67"/>
      <c r="P146" s="67"/>
      <c r="Q146" s="67"/>
    </row>
    <row r="147" spans="1:17" s="68" customFormat="1" x14ac:dyDescent="0.25">
      <c r="A147" s="148"/>
      <c r="B147" s="185" t="s">
        <v>141</v>
      </c>
      <c r="C147" s="61"/>
      <c r="D147" s="533" t="s">
        <v>142</v>
      </c>
      <c r="E147" s="93">
        <f>SUM(E148:E150)</f>
        <v>7842.67</v>
      </c>
      <c r="F147" s="93">
        <f>SUM(F148:F150)</f>
        <v>24244.81</v>
      </c>
      <c r="G147" s="93">
        <f>SUM(G148:G150)</f>
        <v>24244.81</v>
      </c>
      <c r="H147" s="93">
        <f t="shared" ref="H147" si="46">SUM(H148:H150)</f>
        <v>1678.15</v>
      </c>
      <c r="I147" s="602">
        <f t="shared" si="29"/>
        <v>6.9216875694220743</v>
      </c>
      <c r="J147" s="602">
        <f t="shared" si="27"/>
        <v>6.9216875694220743</v>
      </c>
      <c r="K147" s="67"/>
      <c r="L147" s="67"/>
      <c r="M147" s="67"/>
      <c r="N147" s="67"/>
      <c r="O147" s="67"/>
      <c r="P147" s="67"/>
      <c r="Q147" s="67"/>
    </row>
    <row r="148" spans="1:17" s="68" customFormat="1" x14ac:dyDescent="0.25">
      <c r="A148" s="148"/>
      <c r="B148" s="432">
        <v>32394</v>
      </c>
      <c r="C148" s="21"/>
      <c r="D148" s="433" t="s">
        <v>426</v>
      </c>
      <c r="E148" s="145">
        <f>'Rekapitulacija Posebni dio'!C98</f>
        <v>1681.88</v>
      </c>
      <c r="F148" s="145">
        <f>'Rekapitulacija Posebni dio'!D98</f>
        <v>4000</v>
      </c>
      <c r="G148" s="145">
        <f>'Rekapitulacija Posebni dio'!E98</f>
        <v>4000</v>
      </c>
      <c r="H148" s="145">
        <f>'Rekapitulacija Posebni dio'!F98</f>
        <v>693.82</v>
      </c>
      <c r="I148" s="602">
        <f t="shared" si="29"/>
        <v>17.345500000000001</v>
      </c>
      <c r="J148" s="602">
        <f t="shared" si="27"/>
        <v>17.345500000000001</v>
      </c>
      <c r="K148" s="67"/>
      <c r="L148" s="67"/>
      <c r="M148" s="67"/>
      <c r="N148" s="67"/>
      <c r="O148" s="67"/>
      <c r="P148" s="67"/>
      <c r="Q148" s="67"/>
    </row>
    <row r="149" spans="1:17" s="68" customFormat="1" x14ac:dyDescent="0.25">
      <c r="A149" s="148"/>
      <c r="B149" s="432">
        <v>32395</v>
      </c>
      <c r="C149" s="21"/>
      <c r="D149" s="433" t="s">
        <v>427</v>
      </c>
      <c r="E149" s="145">
        <f>'Rekapitulacija Posebni dio'!C99</f>
        <v>3597</v>
      </c>
      <c r="F149" s="145">
        <f>'Rekapitulacija Posebni dio'!D99</f>
        <v>6500</v>
      </c>
      <c r="G149" s="145">
        <f>'Rekapitulacija Posebni dio'!E99</f>
        <v>6500</v>
      </c>
      <c r="H149" s="145">
        <f>'Rekapitulacija Posebni dio'!F99</f>
        <v>0</v>
      </c>
      <c r="I149" s="602">
        <f t="shared" si="29"/>
        <v>0</v>
      </c>
      <c r="J149" s="602">
        <f t="shared" si="27"/>
        <v>0</v>
      </c>
      <c r="K149" s="67"/>
      <c r="L149" s="67"/>
      <c r="M149" s="67"/>
      <c r="N149" s="67"/>
      <c r="O149" s="67"/>
      <c r="P149" s="67"/>
      <c r="Q149" s="67"/>
    </row>
    <row r="150" spans="1:17" s="12" customFormat="1" x14ac:dyDescent="0.25">
      <c r="A150" s="143"/>
      <c r="B150" s="432">
        <v>32399</v>
      </c>
      <c r="C150" s="21"/>
      <c r="D150" s="433" t="s">
        <v>305</v>
      </c>
      <c r="E150" s="145">
        <f>'Rekapitulacija Posebni dio'!C100</f>
        <v>2563.79</v>
      </c>
      <c r="F150" s="145">
        <f>'Rekapitulacija Posebni dio'!D100</f>
        <v>13744.810000000001</v>
      </c>
      <c r="G150" s="145">
        <f>'Rekapitulacija Posebni dio'!E100</f>
        <v>13744.810000000001</v>
      </c>
      <c r="H150" s="145">
        <f>'Rekapitulacija Posebni dio'!F100</f>
        <v>984.32999999999993</v>
      </c>
      <c r="I150" s="602">
        <f t="shared" si="29"/>
        <v>7.1614667645460344</v>
      </c>
      <c r="J150" s="602">
        <f t="shared" si="27"/>
        <v>7.1614667645460344</v>
      </c>
      <c r="K150" s="3"/>
      <c r="L150" s="3"/>
      <c r="M150" s="3"/>
      <c r="N150" s="3"/>
      <c r="O150" s="3"/>
      <c r="P150" s="3"/>
      <c r="Q150" s="3"/>
    </row>
    <row r="151" spans="1:17" s="12" customFormat="1" x14ac:dyDescent="0.25">
      <c r="A151" s="143"/>
      <c r="B151" s="53">
        <v>324</v>
      </c>
      <c r="C151" s="41"/>
      <c r="D151" s="55" t="s">
        <v>143</v>
      </c>
      <c r="E151" s="93">
        <f t="shared" ref="E151:G152" si="47">SUM(E152)</f>
        <v>0</v>
      </c>
      <c r="F151" s="93">
        <f t="shared" si="47"/>
        <v>398.17</v>
      </c>
      <c r="G151" s="93">
        <f t="shared" si="47"/>
        <v>398.17</v>
      </c>
      <c r="H151" s="93">
        <f t="shared" ref="H151" si="48">SUM(H152)</f>
        <v>0</v>
      </c>
      <c r="I151" s="602">
        <f t="shared" si="29"/>
        <v>0</v>
      </c>
      <c r="J151" s="602">
        <f t="shared" ref="J151:J220" si="49">H151/G151*100</f>
        <v>0</v>
      </c>
      <c r="K151" s="3"/>
      <c r="L151" s="3"/>
      <c r="M151" s="3"/>
      <c r="N151" s="3"/>
      <c r="O151" s="3"/>
      <c r="P151" s="3"/>
      <c r="Q151" s="3"/>
    </row>
    <row r="152" spans="1:17" s="12" customFormat="1" x14ac:dyDescent="0.25">
      <c r="A152" s="143"/>
      <c r="B152" s="60">
        <v>3241</v>
      </c>
      <c r="C152" s="61"/>
      <c r="D152" s="62" t="s">
        <v>143</v>
      </c>
      <c r="E152" s="93">
        <f t="shared" si="47"/>
        <v>0</v>
      </c>
      <c r="F152" s="93">
        <f t="shared" si="47"/>
        <v>398.17</v>
      </c>
      <c r="G152" s="93">
        <f t="shared" si="47"/>
        <v>398.17</v>
      </c>
      <c r="H152" s="93">
        <f t="shared" ref="H152" si="50">SUM(H153)</f>
        <v>0</v>
      </c>
      <c r="I152" s="602">
        <f t="shared" si="29"/>
        <v>0</v>
      </c>
      <c r="J152" s="602">
        <f t="shared" si="49"/>
        <v>0</v>
      </c>
      <c r="K152" s="3"/>
      <c r="L152" s="3"/>
      <c r="M152" s="3"/>
      <c r="N152" s="3"/>
      <c r="O152" s="3"/>
      <c r="P152" s="3"/>
      <c r="Q152" s="3"/>
    </row>
    <row r="153" spans="1:17" s="12" customFormat="1" x14ac:dyDescent="0.25">
      <c r="A153" s="143"/>
      <c r="B153" s="57" t="s">
        <v>492</v>
      </c>
      <c r="C153" s="41"/>
      <c r="D153" s="58" t="s">
        <v>437</v>
      </c>
      <c r="E153" s="145">
        <f>'Rekapitulacija Posebni dio'!C103</f>
        <v>0</v>
      </c>
      <c r="F153" s="145">
        <f>'Rekapitulacija Posebni dio'!D103</f>
        <v>398.17</v>
      </c>
      <c r="G153" s="145">
        <f>'Rekapitulacija Posebni dio'!E103</f>
        <v>398.17</v>
      </c>
      <c r="H153" s="145">
        <f>'Rekapitulacija Posebni dio'!F103</f>
        <v>0</v>
      </c>
      <c r="I153" s="602">
        <f t="shared" si="29"/>
        <v>0</v>
      </c>
      <c r="J153" s="602">
        <f t="shared" si="49"/>
        <v>0</v>
      </c>
      <c r="K153" s="3"/>
      <c r="L153" s="3"/>
      <c r="M153" s="3"/>
      <c r="N153" s="3"/>
      <c r="O153" s="3"/>
      <c r="P153" s="3"/>
      <c r="Q153" s="3"/>
    </row>
    <row r="154" spans="1:17" s="12" customFormat="1" x14ac:dyDescent="0.25">
      <c r="A154" s="143"/>
      <c r="B154" s="60" t="s">
        <v>619</v>
      </c>
      <c r="C154" s="61"/>
      <c r="D154" s="62" t="s">
        <v>127</v>
      </c>
      <c r="E154" s="93">
        <f>E155</f>
        <v>0</v>
      </c>
      <c r="F154" s="93">
        <f>F155</f>
        <v>0</v>
      </c>
      <c r="G154" s="93">
        <f t="shared" ref="G154:H154" si="51">G155</f>
        <v>170000</v>
      </c>
      <c r="H154" s="93">
        <f t="shared" si="51"/>
        <v>70326.444999999992</v>
      </c>
      <c r="I154" s="602" t="e">
        <f t="shared" ref="I154:I157" si="52">H154/F154*100</f>
        <v>#DIV/0!</v>
      </c>
      <c r="J154" s="602">
        <f t="shared" ref="J154:J157" si="53">H154/G154*100</f>
        <v>41.368497058823522</v>
      </c>
      <c r="K154" s="3"/>
      <c r="L154" s="3"/>
      <c r="M154" s="3"/>
      <c r="N154" s="3"/>
      <c r="O154" s="3"/>
      <c r="P154" s="3"/>
      <c r="Q154" s="3"/>
    </row>
    <row r="155" spans="1:17" s="12" customFormat="1" x14ac:dyDescent="0.25">
      <c r="A155" s="143"/>
      <c r="B155" s="60" t="s">
        <v>620</v>
      </c>
      <c r="C155" s="61"/>
      <c r="D155" s="62" t="s">
        <v>142</v>
      </c>
      <c r="E155" s="93">
        <f>E156+E157</f>
        <v>0</v>
      </c>
      <c r="F155" s="93">
        <f>F156+F157</f>
        <v>0</v>
      </c>
      <c r="G155" s="93">
        <f t="shared" ref="G155:H155" si="54">G156+G157</f>
        <v>170000</v>
      </c>
      <c r="H155" s="93">
        <f t="shared" si="54"/>
        <v>70326.444999999992</v>
      </c>
      <c r="I155" s="602" t="e">
        <f t="shared" si="52"/>
        <v>#DIV/0!</v>
      </c>
      <c r="J155" s="602">
        <f t="shared" si="53"/>
        <v>41.368497058823522</v>
      </c>
      <c r="K155" s="3"/>
      <c r="L155" s="3"/>
      <c r="M155" s="3"/>
      <c r="N155" s="3"/>
      <c r="O155" s="3"/>
      <c r="P155" s="3"/>
      <c r="Q155" s="3"/>
    </row>
    <row r="156" spans="1:17" s="12" customFormat="1" x14ac:dyDescent="0.25">
      <c r="A156" s="143"/>
      <c r="B156" s="57" t="s">
        <v>621</v>
      </c>
      <c r="C156" s="41"/>
      <c r="D156" s="58" t="s">
        <v>623</v>
      </c>
      <c r="E156" s="145">
        <f>'Rekapitulacija Posebni dio'!C106</f>
        <v>0</v>
      </c>
      <c r="F156" s="145">
        <f>'Rekapitulacija Posebni dio'!D106</f>
        <v>0</v>
      </c>
      <c r="G156" s="145">
        <f>'Rekapitulacija Posebni dio'!E106</f>
        <v>15000</v>
      </c>
      <c r="H156" s="145">
        <f>'Rekapitulacija Posebni dio'!F106</f>
        <v>2309.6650000000004</v>
      </c>
      <c r="I156" s="602" t="e">
        <f t="shared" si="52"/>
        <v>#DIV/0!</v>
      </c>
      <c r="J156" s="602">
        <f t="shared" si="53"/>
        <v>15.397766666666671</v>
      </c>
      <c r="K156" s="3"/>
      <c r="L156" s="3"/>
      <c r="M156" s="3"/>
      <c r="N156" s="3"/>
      <c r="O156" s="3"/>
      <c r="P156" s="3"/>
      <c r="Q156" s="3"/>
    </row>
    <row r="157" spans="1:17" s="12" customFormat="1" x14ac:dyDescent="0.25">
      <c r="A157" s="143"/>
      <c r="B157" s="57" t="s">
        <v>622</v>
      </c>
      <c r="C157" s="41"/>
      <c r="D157" s="58" t="s">
        <v>624</v>
      </c>
      <c r="E157" s="145">
        <f>'Rekapitulacija Posebni dio'!C107</f>
        <v>0</v>
      </c>
      <c r="F157" s="145">
        <f>'Rekapitulacija Posebni dio'!D107</f>
        <v>0</v>
      </c>
      <c r="G157" s="145">
        <f>'Rekapitulacija Posebni dio'!E107</f>
        <v>155000</v>
      </c>
      <c r="H157" s="145">
        <f>'Rekapitulacija Posebni dio'!F107</f>
        <v>68016.78</v>
      </c>
      <c r="I157" s="602" t="e">
        <f t="shared" si="52"/>
        <v>#DIV/0!</v>
      </c>
      <c r="J157" s="602">
        <f t="shared" si="53"/>
        <v>43.881793548387094</v>
      </c>
      <c r="K157" s="3"/>
      <c r="L157" s="3"/>
      <c r="M157" s="3"/>
      <c r="N157" s="3"/>
      <c r="O157" s="3"/>
      <c r="P157" s="3"/>
      <c r="Q157" s="3"/>
    </row>
    <row r="158" spans="1:17" s="12" customFormat="1" x14ac:dyDescent="0.25">
      <c r="A158" s="143"/>
      <c r="B158" s="79">
        <v>329</v>
      </c>
      <c r="C158" s="41"/>
      <c r="D158" s="160" t="s">
        <v>144</v>
      </c>
      <c r="E158" s="93">
        <f>E159+E161+E165+E167+E169+E173+E175</f>
        <v>23433.409999999996</v>
      </c>
      <c r="F158" s="93">
        <f>F159+F161+F165+F167+F169+F173+F175</f>
        <v>51775.64</v>
      </c>
      <c r="G158" s="93">
        <f>G159+G161+G165+G167+G169+G173+G175</f>
        <v>51775.64</v>
      </c>
      <c r="H158" s="93">
        <f t="shared" ref="H158" si="55">H159+H161+H165+H167+H169+H173+H175</f>
        <v>18787.670000000002</v>
      </c>
      <c r="I158" s="602">
        <f t="shared" si="29"/>
        <v>36.286697759795921</v>
      </c>
      <c r="J158" s="602">
        <f t="shared" si="49"/>
        <v>36.286697759795921</v>
      </c>
      <c r="K158" s="3"/>
      <c r="L158" s="3"/>
      <c r="M158" s="3"/>
      <c r="N158" s="3"/>
      <c r="O158" s="3"/>
      <c r="P158" s="3"/>
      <c r="Q158" s="3"/>
    </row>
    <row r="159" spans="1:17" s="12" customFormat="1" x14ac:dyDescent="0.25">
      <c r="A159" s="143"/>
      <c r="B159" s="185" t="s">
        <v>145</v>
      </c>
      <c r="C159" s="61"/>
      <c r="D159" s="62" t="s">
        <v>540</v>
      </c>
      <c r="E159" s="93">
        <f>SUM(E160)</f>
        <v>4399.32</v>
      </c>
      <c r="F159" s="93">
        <f>SUM(F160)</f>
        <v>11613.25</v>
      </c>
      <c r="G159" s="93">
        <f>SUM(G160)</f>
        <v>11613.25</v>
      </c>
      <c r="H159" s="93">
        <f t="shared" ref="H159" si="56">SUM(H160)</f>
        <v>4399.32</v>
      </c>
      <c r="I159" s="602">
        <f t="shared" si="29"/>
        <v>37.881902137644495</v>
      </c>
      <c r="J159" s="602">
        <f t="shared" si="49"/>
        <v>37.881902137644495</v>
      </c>
      <c r="K159" s="3"/>
      <c r="L159" s="3"/>
      <c r="M159" s="3"/>
      <c r="N159" s="3"/>
      <c r="O159" s="3"/>
      <c r="P159" s="3"/>
      <c r="Q159" s="3"/>
    </row>
    <row r="160" spans="1:17" s="12" customFormat="1" ht="14.25" customHeight="1" x14ac:dyDescent="0.25">
      <c r="A160" s="143"/>
      <c r="B160" s="82">
        <v>32911</v>
      </c>
      <c r="C160" s="21"/>
      <c r="D160" s="58" t="s">
        <v>146</v>
      </c>
      <c r="E160" s="145">
        <f>'Rekapitulacija Posebni dio'!C110</f>
        <v>4399.32</v>
      </c>
      <c r="F160" s="145">
        <f>'Rekapitulacija Posebni dio'!D110</f>
        <v>11613.25</v>
      </c>
      <c r="G160" s="145">
        <f>'Rekapitulacija Posebni dio'!E110</f>
        <v>11613.25</v>
      </c>
      <c r="H160" s="145">
        <f>'Rekapitulacija Posebni dio'!F110</f>
        <v>4399.32</v>
      </c>
      <c r="I160" s="602">
        <f t="shared" si="29"/>
        <v>37.881902137644495</v>
      </c>
      <c r="J160" s="602">
        <f t="shared" si="49"/>
        <v>37.881902137644495</v>
      </c>
      <c r="K160" s="3"/>
      <c r="L160" s="3"/>
      <c r="M160" s="3"/>
      <c r="N160" s="3"/>
      <c r="O160" s="3"/>
      <c r="P160" s="3"/>
      <c r="Q160" s="3"/>
    </row>
    <row r="161" spans="1:17" s="12" customFormat="1" x14ac:dyDescent="0.25">
      <c r="A161" s="143"/>
      <c r="B161" s="185">
        <v>3292</v>
      </c>
      <c r="C161" s="61"/>
      <c r="D161" s="533" t="s">
        <v>147</v>
      </c>
      <c r="E161" s="93">
        <f>SUM(E162:E164)</f>
        <v>13133.84</v>
      </c>
      <c r="F161" s="93">
        <f>SUM(F162:F164)</f>
        <v>21235.65</v>
      </c>
      <c r="G161" s="93">
        <f>SUM(G162:G164)</f>
        <v>21235.65</v>
      </c>
      <c r="H161" s="93">
        <f t="shared" ref="H161" si="57">SUM(H162:H164)</f>
        <v>9384.6500000000015</v>
      </c>
      <c r="I161" s="602">
        <f t="shared" ref="I161:I230" si="58">H161/F161*100</f>
        <v>44.19290203031224</v>
      </c>
      <c r="J161" s="602">
        <f t="shared" si="49"/>
        <v>44.19290203031224</v>
      </c>
      <c r="K161" s="3"/>
      <c r="L161" s="3"/>
      <c r="M161" s="3"/>
      <c r="N161" s="3"/>
      <c r="O161" s="3"/>
      <c r="P161" s="3"/>
      <c r="Q161" s="3"/>
    </row>
    <row r="162" spans="1:17" s="12" customFormat="1" x14ac:dyDescent="0.25">
      <c r="A162" s="143"/>
      <c r="B162" s="183">
        <v>32921</v>
      </c>
      <c r="C162" s="61"/>
      <c r="D162" s="433" t="s">
        <v>431</v>
      </c>
      <c r="E162" s="93">
        <f>'Rekapitulacija Posebni dio'!C112</f>
        <v>5712.87</v>
      </c>
      <c r="F162" s="93">
        <f>'Rekapitulacija Posebni dio'!D112</f>
        <v>10250</v>
      </c>
      <c r="G162" s="93">
        <f>'Rekapitulacija Posebni dio'!E112</f>
        <v>10250</v>
      </c>
      <c r="H162" s="93">
        <f>'Rekapitulacija Posebni dio'!F112</f>
        <v>2274.1800000000003</v>
      </c>
      <c r="I162" s="602">
        <f t="shared" si="58"/>
        <v>22.187121951219517</v>
      </c>
      <c r="J162" s="602">
        <f t="shared" si="49"/>
        <v>22.187121951219517</v>
      </c>
      <c r="K162" s="3"/>
      <c r="L162" s="3"/>
      <c r="M162" s="3"/>
      <c r="N162" s="3"/>
      <c r="O162" s="3"/>
      <c r="P162" s="3"/>
      <c r="Q162" s="3"/>
    </row>
    <row r="163" spans="1:17" s="12" customFormat="1" x14ac:dyDescent="0.25">
      <c r="A163" s="143"/>
      <c r="B163" s="183">
        <v>32922</v>
      </c>
      <c r="C163" s="61"/>
      <c r="D163" s="433" t="s">
        <v>430</v>
      </c>
      <c r="E163" s="93">
        <f>'Rekapitulacija Posebni dio'!C113</f>
        <v>2372.85</v>
      </c>
      <c r="F163" s="93">
        <f>'Rekapitulacija Posebni dio'!D113</f>
        <v>2100</v>
      </c>
      <c r="G163" s="93">
        <f>'Rekapitulacija Posebni dio'!E113</f>
        <v>2100</v>
      </c>
      <c r="H163" s="93">
        <f>'Rekapitulacija Posebni dio'!F113</f>
        <v>2372.85</v>
      </c>
      <c r="I163" s="602">
        <f t="shared" si="58"/>
        <v>112.99285714285713</v>
      </c>
      <c r="J163" s="602">
        <f t="shared" si="49"/>
        <v>112.99285714285713</v>
      </c>
      <c r="K163" s="3"/>
      <c r="L163" s="3"/>
      <c r="M163" s="3"/>
      <c r="N163" s="3"/>
      <c r="O163" s="3"/>
      <c r="P163" s="3"/>
      <c r="Q163" s="3"/>
    </row>
    <row r="164" spans="1:17" s="12" customFormat="1" x14ac:dyDescent="0.25">
      <c r="A164" s="143"/>
      <c r="B164" s="183">
        <v>32923</v>
      </c>
      <c r="C164" s="21"/>
      <c r="D164" s="433" t="s">
        <v>428</v>
      </c>
      <c r="E164" s="145">
        <f>'Rekapitulacija Posebni dio'!C114</f>
        <v>5048.12</v>
      </c>
      <c r="F164" s="145">
        <f>'Rekapitulacija Posebni dio'!D114</f>
        <v>8885.6500000000015</v>
      </c>
      <c r="G164" s="145">
        <f>'Rekapitulacija Posebni dio'!E114</f>
        <v>8885.6500000000015</v>
      </c>
      <c r="H164" s="145">
        <f>'Rekapitulacija Posebni dio'!F114</f>
        <v>4737.62</v>
      </c>
      <c r="I164" s="602">
        <f t="shared" si="58"/>
        <v>53.317652619673282</v>
      </c>
      <c r="J164" s="602">
        <f t="shared" si="49"/>
        <v>53.317652619673282</v>
      </c>
      <c r="K164" s="3"/>
      <c r="L164" s="3"/>
      <c r="M164" s="3"/>
      <c r="N164" s="3"/>
      <c r="O164" s="3"/>
      <c r="P164" s="3"/>
      <c r="Q164" s="3"/>
    </row>
    <row r="165" spans="1:17" s="12" customFormat="1" x14ac:dyDescent="0.25">
      <c r="A165" s="143"/>
      <c r="B165" s="185">
        <v>3293</v>
      </c>
      <c r="C165" s="61"/>
      <c r="D165" s="533" t="s">
        <v>148</v>
      </c>
      <c r="E165" s="93">
        <f>SUM(E166)</f>
        <v>919.01</v>
      </c>
      <c r="F165" s="93">
        <f>SUM(F166)</f>
        <v>3318.07</v>
      </c>
      <c r="G165" s="93">
        <f>SUM(G166)</f>
        <v>3318.07</v>
      </c>
      <c r="H165" s="93">
        <f t="shared" ref="H165" si="59">SUM(H166)</f>
        <v>1127.2800000000002</v>
      </c>
      <c r="I165" s="602">
        <f t="shared" si="58"/>
        <v>33.973966793949501</v>
      </c>
      <c r="J165" s="602">
        <f t="shared" si="49"/>
        <v>33.973966793949501</v>
      </c>
      <c r="K165" s="3"/>
      <c r="L165" s="3"/>
      <c r="M165" s="3"/>
      <c r="N165" s="3"/>
      <c r="O165" s="3"/>
      <c r="P165" s="3"/>
      <c r="Q165" s="3"/>
    </row>
    <row r="166" spans="1:17" s="12" customFormat="1" x14ac:dyDescent="0.25">
      <c r="A166" s="143"/>
      <c r="B166" s="82">
        <v>32931</v>
      </c>
      <c r="C166" s="21"/>
      <c r="D166" s="159" t="s">
        <v>148</v>
      </c>
      <c r="E166" s="145">
        <f>'Rekapitulacija Posebni dio'!C116</f>
        <v>919.01</v>
      </c>
      <c r="F166" s="145">
        <f>'Rekapitulacija Posebni dio'!D116</f>
        <v>3318.07</v>
      </c>
      <c r="G166" s="145">
        <f>'Rekapitulacija Posebni dio'!E116</f>
        <v>3318.07</v>
      </c>
      <c r="H166" s="145">
        <f>'Rekapitulacija Posebni dio'!F116</f>
        <v>1127.2800000000002</v>
      </c>
      <c r="I166" s="602">
        <f t="shared" si="58"/>
        <v>33.973966793949501</v>
      </c>
      <c r="J166" s="602">
        <f t="shared" si="49"/>
        <v>33.973966793949501</v>
      </c>
      <c r="K166" s="3"/>
      <c r="L166" s="3"/>
      <c r="M166" s="3"/>
      <c r="N166" s="3"/>
      <c r="O166" s="3"/>
      <c r="P166" s="3"/>
      <c r="Q166" s="3"/>
    </row>
    <row r="167" spans="1:17" s="12" customFormat="1" x14ac:dyDescent="0.25">
      <c r="A167" s="143"/>
      <c r="B167" s="185">
        <v>3294</v>
      </c>
      <c r="C167" s="61"/>
      <c r="D167" s="533" t="s">
        <v>149</v>
      </c>
      <c r="E167" s="93">
        <f>SUM(E168)</f>
        <v>1072.23</v>
      </c>
      <c r="F167" s="93">
        <f>SUM(F168)</f>
        <v>1990.84</v>
      </c>
      <c r="G167" s="93">
        <f>SUM(G168)</f>
        <v>1990.84</v>
      </c>
      <c r="H167" s="93">
        <f t="shared" ref="H167" si="60">SUM(H168)</f>
        <v>1112.4000000000001</v>
      </c>
      <c r="I167" s="602">
        <f t="shared" si="58"/>
        <v>55.875911675473674</v>
      </c>
      <c r="J167" s="602">
        <f t="shared" si="49"/>
        <v>55.875911675473674</v>
      </c>
      <c r="K167" s="3"/>
      <c r="L167" s="3"/>
      <c r="M167" s="3"/>
      <c r="N167" s="3"/>
      <c r="O167" s="3"/>
      <c r="P167" s="3"/>
      <c r="Q167" s="3"/>
    </row>
    <row r="168" spans="1:17" s="12" customFormat="1" x14ac:dyDescent="0.25">
      <c r="A168" s="143"/>
      <c r="B168" s="82">
        <v>32941</v>
      </c>
      <c r="C168" s="21"/>
      <c r="D168" s="159" t="s">
        <v>532</v>
      </c>
      <c r="E168" s="145">
        <f>'Rekapitulacija Posebni dio'!C118</f>
        <v>1072.23</v>
      </c>
      <c r="F168" s="145">
        <f>'Rekapitulacija Posebni dio'!D118</f>
        <v>1990.84</v>
      </c>
      <c r="G168" s="145">
        <f>'Rekapitulacija Posebni dio'!E118</f>
        <v>1990.84</v>
      </c>
      <c r="H168" s="145">
        <f>'Rekapitulacija Posebni dio'!F118</f>
        <v>1112.4000000000001</v>
      </c>
      <c r="I168" s="602">
        <f t="shared" si="58"/>
        <v>55.875911675473674</v>
      </c>
      <c r="J168" s="602">
        <f t="shared" si="49"/>
        <v>55.875911675473674</v>
      </c>
      <c r="K168" s="3"/>
      <c r="L168" s="3"/>
      <c r="M168" s="3"/>
      <c r="N168" s="3"/>
      <c r="O168" s="3"/>
      <c r="P168" s="3"/>
      <c r="Q168" s="3"/>
    </row>
    <row r="169" spans="1:17" s="12" customFormat="1" x14ac:dyDescent="0.25">
      <c r="A169" s="143"/>
      <c r="B169" s="165">
        <v>3295</v>
      </c>
      <c r="C169" s="61"/>
      <c r="D169" s="166" t="s">
        <v>150</v>
      </c>
      <c r="E169" s="93">
        <f>SUM(E170:E172)</f>
        <v>262.14</v>
      </c>
      <c r="F169" s="93">
        <f>SUM(F170:F172)</f>
        <v>2654.46</v>
      </c>
      <c r="G169" s="93">
        <f>SUM(G170:G172)</f>
        <v>2654.46</v>
      </c>
      <c r="H169" s="93">
        <f t="shared" ref="H169" si="61">SUM(H170:H172)</f>
        <v>71.25</v>
      </c>
      <c r="I169" s="602">
        <f t="shared" si="58"/>
        <v>2.684161750412513</v>
      </c>
      <c r="J169" s="602">
        <f t="shared" si="49"/>
        <v>2.684161750412513</v>
      </c>
      <c r="K169" s="3"/>
      <c r="L169" s="3"/>
      <c r="M169" s="3"/>
      <c r="N169" s="3"/>
      <c r="O169" s="3"/>
      <c r="P169" s="3"/>
      <c r="Q169" s="3"/>
    </row>
    <row r="170" spans="1:17" s="12" customFormat="1" x14ac:dyDescent="0.25">
      <c r="A170" s="143"/>
      <c r="B170" s="82">
        <v>32952</v>
      </c>
      <c r="C170" s="21"/>
      <c r="D170" s="396" t="s">
        <v>434</v>
      </c>
      <c r="E170" s="145">
        <f>'Rekapitulacija Posebni dio'!C120</f>
        <v>262.14</v>
      </c>
      <c r="F170" s="145">
        <f>'Rekapitulacija Posebni dio'!D120</f>
        <v>800</v>
      </c>
      <c r="G170" s="145">
        <f>'Rekapitulacija Posebni dio'!E120</f>
        <v>800</v>
      </c>
      <c r="H170" s="145">
        <f>'Rekapitulacija Posebni dio'!F120</f>
        <v>0</v>
      </c>
      <c r="I170" s="602">
        <f t="shared" si="58"/>
        <v>0</v>
      </c>
      <c r="J170" s="602">
        <f t="shared" si="49"/>
        <v>0</v>
      </c>
      <c r="K170" s="3"/>
      <c r="L170" s="3"/>
      <c r="M170" s="3"/>
      <c r="N170" s="3"/>
      <c r="O170" s="3"/>
      <c r="P170" s="3"/>
      <c r="Q170" s="3"/>
    </row>
    <row r="171" spans="1:17" s="12" customFormat="1" x14ac:dyDescent="0.25">
      <c r="A171" s="143"/>
      <c r="B171" s="82">
        <v>32953</v>
      </c>
      <c r="C171" s="21"/>
      <c r="D171" s="396" t="s">
        <v>435</v>
      </c>
      <c r="E171" s="145">
        <f>'Rekapitulacija Posebni dio'!C121</f>
        <v>0</v>
      </c>
      <c r="F171" s="145">
        <f>'Rekapitulacija Posebni dio'!D121</f>
        <v>1450</v>
      </c>
      <c r="G171" s="145">
        <f>'Rekapitulacija Posebni dio'!E121</f>
        <v>1450</v>
      </c>
      <c r="H171" s="145">
        <f>'Rekapitulacija Posebni dio'!F121</f>
        <v>71.25</v>
      </c>
      <c r="I171" s="602">
        <f t="shared" si="58"/>
        <v>4.9137931034482758</v>
      </c>
      <c r="J171" s="602">
        <f t="shared" si="49"/>
        <v>4.9137931034482758</v>
      </c>
      <c r="K171" s="3"/>
      <c r="L171" s="3"/>
      <c r="M171" s="3"/>
      <c r="N171" s="3"/>
      <c r="O171" s="3"/>
      <c r="P171" s="3"/>
      <c r="Q171" s="3"/>
    </row>
    <row r="172" spans="1:17" s="12" customFormat="1" x14ac:dyDescent="0.25">
      <c r="A172" s="143"/>
      <c r="B172" s="161">
        <v>32959</v>
      </c>
      <c r="C172" s="21"/>
      <c r="D172" s="396" t="s">
        <v>433</v>
      </c>
      <c r="E172" s="145">
        <f>'Rekapitulacija Posebni dio'!C122</f>
        <v>0</v>
      </c>
      <c r="F172" s="145">
        <f>'Rekapitulacija Posebni dio'!D122</f>
        <v>404.46000000000004</v>
      </c>
      <c r="G172" s="145">
        <f>'Rekapitulacija Posebni dio'!E122</f>
        <v>404.46000000000004</v>
      </c>
      <c r="H172" s="145">
        <f>'Rekapitulacija Posebni dio'!F122</f>
        <v>0</v>
      </c>
      <c r="I172" s="602">
        <f t="shared" si="58"/>
        <v>0</v>
      </c>
      <c r="J172" s="602">
        <f t="shared" si="49"/>
        <v>0</v>
      </c>
      <c r="K172" s="3"/>
      <c r="L172" s="3"/>
      <c r="M172" s="3"/>
      <c r="N172" s="3"/>
      <c r="O172" s="3"/>
      <c r="P172" s="3"/>
      <c r="Q172" s="3"/>
    </row>
    <row r="173" spans="1:17" s="12" customFormat="1" x14ac:dyDescent="0.25">
      <c r="A173" s="143"/>
      <c r="B173" s="165">
        <v>3296</v>
      </c>
      <c r="C173" s="61"/>
      <c r="D173" s="166" t="s">
        <v>151</v>
      </c>
      <c r="E173" s="93">
        <f>SUM(E174)</f>
        <v>705</v>
      </c>
      <c r="F173" s="93">
        <f>SUM(F174)</f>
        <v>4990.84</v>
      </c>
      <c r="G173" s="93">
        <f>SUM(G174)</f>
        <v>4990.84</v>
      </c>
      <c r="H173" s="93">
        <f t="shared" ref="H173" si="62">SUM(H174)</f>
        <v>0</v>
      </c>
      <c r="I173" s="602">
        <f t="shared" si="58"/>
        <v>0</v>
      </c>
      <c r="J173" s="602">
        <f t="shared" si="49"/>
        <v>0</v>
      </c>
      <c r="K173" s="3"/>
      <c r="L173" s="3"/>
      <c r="M173" s="3"/>
      <c r="N173" s="3"/>
      <c r="O173" s="3"/>
      <c r="P173" s="3"/>
      <c r="Q173" s="3"/>
    </row>
    <row r="174" spans="1:17" s="12" customFormat="1" x14ac:dyDescent="0.25">
      <c r="A174" s="143"/>
      <c r="B174" s="161">
        <v>32961</v>
      </c>
      <c r="C174" s="21"/>
      <c r="D174" s="162" t="s">
        <v>151</v>
      </c>
      <c r="E174" s="145">
        <f>'Rekapitulacija Posebni dio'!C124</f>
        <v>705</v>
      </c>
      <c r="F174" s="145">
        <f>'Rekapitulacija Posebni dio'!D124</f>
        <v>4990.84</v>
      </c>
      <c r="G174" s="145">
        <f>'Rekapitulacija Posebni dio'!E124</f>
        <v>4990.84</v>
      </c>
      <c r="H174" s="145">
        <f>'Rekapitulacija Posebni dio'!F124</f>
        <v>0</v>
      </c>
      <c r="I174" s="602">
        <f t="shared" si="58"/>
        <v>0</v>
      </c>
      <c r="J174" s="602">
        <f t="shared" si="49"/>
        <v>0</v>
      </c>
      <c r="K174" s="3"/>
      <c r="L174" s="3"/>
      <c r="M174" s="3"/>
      <c r="N174" s="3"/>
      <c r="O174" s="3"/>
      <c r="P174" s="3"/>
      <c r="Q174" s="3"/>
    </row>
    <row r="175" spans="1:17" s="12" customFormat="1" x14ac:dyDescent="0.25">
      <c r="A175" s="143"/>
      <c r="B175" s="165" t="s">
        <v>152</v>
      </c>
      <c r="C175" s="61"/>
      <c r="D175" s="166" t="s">
        <v>144</v>
      </c>
      <c r="E175" s="93">
        <f>SUM(E176:E177)</f>
        <v>2941.87</v>
      </c>
      <c r="F175" s="93">
        <f>SUM(F176:F177)</f>
        <v>5972.53</v>
      </c>
      <c r="G175" s="93">
        <f>SUM(G176:G177)</f>
        <v>5972.53</v>
      </c>
      <c r="H175" s="93">
        <f t="shared" ref="H175" si="63">SUM(H176:H177)</f>
        <v>2692.77</v>
      </c>
      <c r="I175" s="602">
        <f t="shared" si="58"/>
        <v>45.085918362904835</v>
      </c>
      <c r="J175" s="602">
        <f t="shared" si="49"/>
        <v>45.085918362904835</v>
      </c>
      <c r="K175" s="3"/>
      <c r="L175" s="3"/>
      <c r="M175" s="3"/>
      <c r="N175" s="3"/>
      <c r="O175" s="3"/>
      <c r="P175" s="3"/>
      <c r="Q175" s="3"/>
    </row>
    <row r="176" spans="1:17" s="12" customFormat="1" x14ac:dyDescent="0.25">
      <c r="A176" s="143"/>
      <c r="B176" s="161">
        <v>32991</v>
      </c>
      <c r="C176" s="21"/>
      <c r="D176" s="396" t="s">
        <v>436</v>
      </c>
      <c r="E176" s="145">
        <f>'Rekapitulacija Posebni dio'!C126</f>
        <v>0</v>
      </c>
      <c r="F176" s="145">
        <f>'Rekapitulacija Posebni dio'!D126</f>
        <v>200</v>
      </c>
      <c r="G176" s="145">
        <f>'Rekapitulacija Posebni dio'!E126</f>
        <v>200</v>
      </c>
      <c r="H176" s="145">
        <f>'Rekapitulacija Posebni dio'!F126</f>
        <v>50</v>
      </c>
      <c r="I176" s="602">
        <f t="shared" si="58"/>
        <v>25</v>
      </c>
      <c r="J176" s="602">
        <f t="shared" si="49"/>
        <v>25</v>
      </c>
      <c r="K176" s="3"/>
      <c r="L176" s="3"/>
      <c r="M176" s="3"/>
      <c r="N176" s="3"/>
      <c r="O176" s="3"/>
      <c r="P176" s="3"/>
      <c r="Q176" s="3"/>
    </row>
    <row r="177" spans="1:17" s="12" customFormat="1" x14ac:dyDescent="0.25">
      <c r="A177" s="143"/>
      <c r="B177" s="161">
        <v>32999</v>
      </c>
      <c r="C177" s="21"/>
      <c r="D177" s="396" t="s">
        <v>144</v>
      </c>
      <c r="E177" s="145">
        <f>'Rekapitulacija Posebni dio'!C127</f>
        <v>2941.87</v>
      </c>
      <c r="F177" s="145">
        <f>'Rekapitulacija Posebni dio'!D127</f>
        <v>5772.53</v>
      </c>
      <c r="G177" s="145">
        <f>'Rekapitulacija Posebni dio'!E127</f>
        <v>5772.53</v>
      </c>
      <c r="H177" s="145">
        <f>'Rekapitulacija Posebni dio'!F127</f>
        <v>2642.77</v>
      </c>
      <c r="I177" s="602">
        <f t="shared" si="58"/>
        <v>45.781832229542339</v>
      </c>
      <c r="J177" s="602">
        <f t="shared" si="49"/>
        <v>45.781832229542339</v>
      </c>
      <c r="K177" s="3"/>
      <c r="L177" s="3"/>
      <c r="M177" s="3"/>
      <c r="N177" s="3"/>
      <c r="O177" s="3"/>
      <c r="P177" s="3"/>
      <c r="Q177" s="3"/>
    </row>
    <row r="178" spans="1:17" s="12" customFormat="1" x14ac:dyDescent="0.25">
      <c r="A178" s="143"/>
      <c r="B178" s="22">
        <v>34</v>
      </c>
      <c r="C178" s="141"/>
      <c r="D178" s="142" t="s">
        <v>153</v>
      </c>
      <c r="E178" s="92">
        <f>SUM(E179)</f>
        <v>2811.2200000000003</v>
      </c>
      <c r="F178" s="92">
        <f>SUM(F179)</f>
        <v>9972.52</v>
      </c>
      <c r="G178" s="92">
        <f>SUM(G179)</f>
        <v>9972.52</v>
      </c>
      <c r="H178" s="92">
        <f t="shared" ref="H178" si="64">SUM(H179)</f>
        <v>3054.41</v>
      </c>
      <c r="I178" s="606">
        <f t="shared" si="58"/>
        <v>30.628266476276806</v>
      </c>
      <c r="J178" s="606">
        <f t="shared" si="49"/>
        <v>30.628266476276806</v>
      </c>
      <c r="K178" s="3"/>
      <c r="L178" s="3"/>
      <c r="M178" s="3"/>
      <c r="N178" s="3"/>
      <c r="O178" s="3"/>
      <c r="P178" s="3"/>
      <c r="Q178" s="3"/>
    </row>
    <row r="179" spans="1:17" s="12" customFormat="1" x14ac:dyDescent="0.25">
      <c r="A179" s="143"/>
      <c r="B179" s="79">
        <v>343</v>
      </c>
      <c r="C179" s="41"/>
      <c r="D179" s="160" t="s">
        <v>154</v>
      </c>
      <c r="E179" s="93">
        <f>E180+E182+E187</f>
        <v>2811.2200000000003</v>
      </c>
      <c r="F179" s="93">
        <f>F180+F182+F187</f>
        <v>9972.52</v>
      </c>
      <c r="G179" s="93">
        <f>G180+G182+G187</f>
        <v>9972.52</v>
      </c>
      <c r="H179" s="93">
        <f>H180+H182+H187</f>
        <v>3054.41</v>
      </c>
      <c r="I179" s="602">
        <f t="shared" si="58"/>
        <v>30.628266476276806</v>
      </c>
      <c r="J179" s="602">
        <f t="shared" si="49"/>
        <v>30.628266476276806</v>
      </c>
      <c r="K179" s="3"/>
      <c r="L179" s="3"/>
      <c r="M179" s="3"/>
      <c r="N179" s="3"/>
      <c r="O179" s="3"/>
      <c r="P179" s="3"/>
      <c r="Q179" s="3"/>
    </row>
    <row r="180" spans="1:17" s="12" customFormat="1" x14ac:dyDescent="0.25">
      <c r="A180" s="143"/>
      <c r="B180" s="185" t="s">
        <v>155</v>
      </c>
      <c r="C180" s="61"/>
      <c r="D180" s="533" t="s">
        <v>156</v>
      </c>
      <c r="E180" s="93">
        <f>SUM(E181)</f>
        <v>1576.39</v>
      </c>
      <c r="F180" s="93">
        <f>SUM(F181)</f>
        <v>5308.91</v>
      </c>
      <c r="G180" s="93">
        <f>SUM(G181)</f>
        <v>5308.91</v>
      </c>
      <c r="H180" s="93">
        <f t="shared" ref="H180" si="65">SUM(H181)</f>
        <v>2832.18</v>
      </c>
      <c r="I180" s="602">
        <f t="shared" si="58"/>
        <v>53.347674004645015</v>
      </c>
      <c r="J180" s="602">
        <f t="shared" si="49"/>
        <v>53.347674004645015</v>
      </c>
      <c r="K180" s="3"/>
      <c r="L180" s="3"/>
      <c r="M180" s="3"/>
      <c r="N180" s="3"/>
      <c r="O180" s="3"/>
      <c r="P180" s="3"/>
      <c r="Q180" s="3"/>
    </row>
    <row r="181" spans="1:17" s="12" customFormat="1" x14ac:dyDescent="0.25">
      <c r="A181" s="143"/>
      <c r="B181" s="82">
        <v>34312</v>
      </c>
      <c r="C181" s="21"/>
      <c r="D181" s="159" t="s">
        <v>156</v>
      </c>
      <c r="E181" s="145">
        <f>'Rekapitulacija Posebni dio'!C131</f>
        <v>1576.39</v>
      </c>
      <c r="F181" s="145">
        <f>'Rekapitulacija Posebni dio'!D131</f>
        <v>5308.91</v>
      </c>
      <c r="G181" s="145">
        <f>'Rekapitulacija Posebni dio'!E131</f>
        <v>5308.91</v>
      </c>
      <c r="H181" s="145">
        <f>'Rekapitulacija Posebni dio'!F131</f>
        <v>2832.18</v>
      </c>
      <c r="I181" s="602">
        <f t="shared" si="58"/>
        <v>53.347674004645015</v>
      </c>
      <c r="J181" s="602">
        <f t="shared" si="49"/>
        <v>53.347674004645015</v>
      </c>
      <c r="K181" s="3"/>
      <c r="L181" s="3"/>
      <c r="M181" s="3"/>
      <c r="N181" s="3"/>
      <c r="O181" s="3"/>
      <c r="P181" s="3"/>
      <c r="Q181" s="3"/>
    </row>
    <row r="182" spans="1:17" s="12" customFormat="1" x14ac:dyDescent="0.25">
      <c r="A182" s="143"/>
      <c r="B182" s="165">
        <v>3433</v>
      </c>
      <c r="C182" s="61"/>
      <c r="D182" s="166" t="s">
        <v>157</v>
      </c>
      <c r="E182" s="93">
        <f>SUM(E183:E186)</f>
        <v>892.03</v>
      </c>
      <c r="F182" s="93">
        <f>SUM(F183:F186)</f>
        <v>4663.6099999999997</v>
      </c>
      <c r="G182" s="93">
        <f>SUM(G183:G186)</f>
        <v>4663.6099999999997</v>
      </c>
      <c r="H182" s="93">
        <f t="shared" ref="H182" si="66">SUM(H183:H186)</f>
        <v>222.23</v>
      </c>
      <c r="I182" s="602">
        <f t="shared" si="58"/>
        <v>4.7651926297439111</v>
      </c>
      <c r="J182" s="602">
        <f t="shared" si="49"/>
        <v>4.7651926297439111</v>
      </c>
      <c r="K182" s="3"/>
      <c r="L182" s="3"/>
      <c r="M182" s="3"/>
      <c r="N182" s="3"/>
      <c r="O182" s="3"/>
      <c r="P182" s="3"/>
      <c r="Q182" s="3"/>
    </row>
    <row r="183" spans="1:17" s="12" customFormat="1" x14ac:dyDescent="0.25">
      <c r="A183" s="143"/>
      <c r="B183" s="432">
        <v>34331</v>
      </c>
      <c r="C183" s="21"/>
      <c r="D183" s="433" t="s">
        <v>439</v>
      </c>
      <c r="E183" s="145">
        <f>'Rekapitulacija Posebni dio'!C134</f>
        <v>11.9</v>
      </c>
      <c r="F183" s="145">
        <f>'Rekapitulacija Posebni dio'!D134</f>
        <v>100</v>
      </c>
      <c r="G183" s="145">
        <f>'Rekapitulacija Posebni dio'!E134</f>
        <v>100</v>
      </c>
      <c r="H183" s="145">
        <f>'Rekapitulacija Posebni dio'!F134</f>
        <v>0</v>
      </c>
      <c r="I183" s="602">
        <f t="shared" si="58"/>
        <v>0</v>
      </c>
      <c r="J183" s="602">
        <f t="shared" si="49"/>
        <v>0</v>
      </c>
      <c r="K183" s="3"/>
      <c r="L183" s="3"/>
      <c r="M183" s="3"/>
      <c r="N183" s="3"/>
      <c r="O183" s="3"/>
      <c r="P183" s="3"/>
      <c r="Q183" s="3"/>
    </row>
    <row r="184" spans="1:17" s="12" customFormat="1" x14ac:dyDescent="0.25">
      <c r="A184" s="143"/>
      <c r="B184" s="432">
        <v>34332</v>
      </c>
      <c r="C184" s="21"/>
      <c r="D184" s="433" t="s">
        <v>440</v>
      </c>
      <c r="E184" s="145">
        <f>'Rekapitulacija Posebni dio'!C135</f>
        <v>315.98</v>
      </c>
      <c r="F184" s="145">
        <f>'Rekapitulacija Posebni dio'!D135</f>
        <v>550</v>
      </c>
      <c r="G184" s="145">
        <f>'Rekapitulacija Posebni dio'!E135</f>
        <v>550</v>
      </c>
      <c r="H184" s="145">
        <f>'Rekapitulacija Posebni dio'!F135</f>
        <v>0</v>
      </c>
      <c r="I184" s="602">
        <f t="shared" si="58"/>
        <v>0</v>
      </c>
      <c r="J184" s="602">
        <f t="shared" si="49"/>
        <v>0</v>
      </c>
      <c r="K184" s="3"/>
      <c r="L184" s="3"/>
      <c r="M184" s="3"/>
      <c r="N184" s="3"/>
      <c r="O184" s="3"/>
      <c r="P184" s="3"/>
      <c r="Q184" s="3"/>
    </row>
    <row r="185" spans="1:17" s="12" customFormat="1" x14ac:dyDescent="0.25">
      <c r="A185" s="143"/>
      <c r="B185" s="432">
        <v>34333</v>
      </c>
      <c r="C185" s="21"/>
      <c r="D185" s="433" t="s">
        <v>441</v>
      </c>
      <c r="E185" s="145">
        <f>'Rekapitulacija Posebni dio'!C136</f>
        <v>3.2</v>
      </c>
      <c r="F185" s="145">
        <f>'Rekapitulacija Posebni dio'!D136</f>
        <v>75</v>
      </c>
      <c r="G185" s="145">
        <f>'Rekapitulacija Posebni dio'!E136</f>
        <v>75</v>
      </c>
      <c r="H185" s="145">
        <f>'Rekapitulacija Posebni dio'!F136</f>
        <v>222.23</v>
      </c>
      <c r="I185" s="602">
        <f t="shared" si="58"/>
        <v>296.30666666666667</v>
      </c>
      <c r="J185" s="602">
        <f t="shared" si="49"/>
        <v>296.30666666666667</v>
      </c>
      <c r="K185" s="3"/>
      <c r="L185" s="3"/>
      <c r="M185" s="3"/>
      <c r="N185" s="3"/>
      <c r="O185" s="3"/>
      <c r="P185" s="3"/>
      <c r="Q185" s="3"/>
    </row>
    <row r="186" spans="1:17" s="12" customFormat="1" x14ac:dyDescent="0.25">
      <c r="A186" s="143"/>
      <c r="B186" s="395">
        <v>34339</v>
      </c>
      <c r="C186" s="21"/>
      <c r="D186" s="396" t="s">
        <v>442</v>
      </c>
      <c r="E186" s="145">
        <f>'Rekapitulacija Posebni dio'!C137</f>
        <v>560.95000000000005</v>
      </c>
      <c r="F186" s="145">
        <f>'Rekapitulacija Posebni dio'!D137</f>
        <v>3938.6099999999997</v>
      </c>
      <c r="G186" s="145">
        <f>'Rekapitulacija Posebni dio'!E137</f>
        <v>3938.6099999999997</v>
      </c>
      <c r="H186" s="145">
        <f>'Rekapitulacija Posebni dio'!F137</f>
        <v>0</v>
      </c>
      <c r="I186" s="602">
        <f t="shared" si="58"/>
        <v>0</v>
      </c>
      <c r="J186" s="602">
        <f t="shared" si="49"/>
        <v>0</v>
      </c>
      <c r="K186" s="3"/>
      <c r="L186" s="3"/>
      <c r="M186" s="3"/>
      <c r="N186" s="3"/>
      <c r="O186" s="3"/>
      <c r="P186" s="3"/>
      <c r="Q186" s="3"/>
    </row>
    <row r="187" spans="1:17" s="12" customFormat="1" x14ac:dyDescent="0.25">
      <c r="A187" s="143"/>
      <c r="B187" s="165">
        <v>3434</v>
      </c>
      <c r="C187" s="61"/>
      <c r="D187" s="166" t="s">
        <v>158</v>
      </c>
      <c r="E187" s="93">
        <f>E188</f>
        <v>342.8</v>
      </c>
      <c r="F187" s="93">
        <f>F188</f>
        <v>0</v>
      </c>
      <c r="G187" s="93">
        <f>G188</f>
        <v>0</v>
      </c>
      <c r="H187" s="93">
        <f>H188</f>
        <v>0</v>
      </c>
      <c r="I187" s="602" t="e">
        <f t="shared" si="58"/>
        <v>#DIV/0!</v>
      </c>
      <c r="J187" s="602" t="e">
        <f t="shared" si="49"/>
        <v>#DIV/0!</v>
      </c>
      <c r="K187" s="3"/>
      <c r="L187" s="3"/>
      <c r="M187" s="3"/>
      <c r="N187" s="3"/>
      <c r="O187" s="3"/>
      <c r="P187" s="3"/>
      <c r="Q187" s="3"/>
    </row>
    <row r="188" spans="1:17" s="12" customFormat="1" x14ac:dyDescent="0.25">
      <c r="A188" s="143"/>
      <c r="B188" s="168">
        <v>34349</v>
      </c>
      <c r="C188" s="47"/>
      <c r="D188" s="169" t="s">
        <v>291</v>
      </c>
      <c r="E188" s="50">
        <f>'Rekapitulacija Posebni dio'!C139</f>
        <v>342.8</v>
      </c>
      <c r="F188" s="50">
        <f>'Rekapitulacija Posebni dio'!D139</f>
        <v>0</v>
      </c>
      <c r="G188" s="50">
        <f>'Rekapitulacija Posebni dio'!E139</f>
        <v>0</v>
      </c>
      <c r="H188" s="50">
        <f>'Rekapitulacija Posebni dio'!F139</f>
        <v>0</v>
      </c>
      <c r="I188" s="602" t="e">
        <f t="shared" si="58"/>
        <v>#DIV/0!</v>
      </c>
      <c r="J188" s="602" t="e">
        <f t="shared" si="49"/>
        <v>#DIV/0!</v>
      </c>
      <c r="K188" s="3"/>
      <c r="L188" s="3"/>
      <c r="M188" s="3"/>
      <c r="N188" s="3"/>
      <c r="O188" s="3"/>
      <c r="P188" s="3"/>
      <c r="Q188" s="3"/>
    </row>
    <row r="189" spans="1:17" s="12" customFormat="1" x14ac:dyDescent="0.25">
      <c r="A189" s="143"/>
      <c r="B189" s="163">
        <v>36</v>
      </c>
      <c r="C189" s="120"/>
      <c r="D189" s="164" t="s">
        <v>159</v>
      </c>
      <c r="E189" s="92">
        <f>E190</f>
        <v>0</v>
      </c>
      <c r="F189" s="92">
        <f>F190</f>
        <v>0</v>
      </c>
      <c r="G189" s="92">
        <f>G190</f>
        <v>0</v>
      </c>
      <c r="H189" s="92">
        <f t="shared" ref="H189" si="67">H190</f>
        <v>0</v>
      </c>
      <c r="I189" s="606" t="e">
        <f t="shared" si="58"/>
        <v>#DIV/0!</v>
      </c>
      <c r="J189" s="606" t="e">
        <f t="shared" si="49"/>
        <v>#DIV/0!</v>
      </c>
      <c r="K189" s="3"/>
      <c r="L189" s="3"/>
      <c r="M189" s="3"/>
      <c r="N189" s="3"/>
      <c r="O189" s="3"/>
      <c r="P189" s="3"/>
      <c r="Q189" s="3"/>
    </row>
    <row r="190" spans="1:17" s="12" customFormat="1" x14ac:dyDescent="0.25">
      <c r="A190" s="143"/>
      <c r="B190" s="165">
        <v>369</v>
      </c>
      <c r="C190" s="61"/>
      <c r="D190" s="166" t="s">
        <v>38</v>
      </c>
      <c r="E190" s="93">
        <f>SUM(E192,E191)</f>
        <v>0</v>
      </c>
      <c r="F190" s="93">
        <f>SUM(F192,F191)</f>
        <v>0</v>
      </c>
      <c r="G190" s="93">
        <f>SUM(G192,G191)</f>
        <v>0</v>
      </c>
      <c r="H190" s="93">
        <f t="shared" ref="H190" si="68">SUM(H192,H191)</f>
        <v>0</v>
      </c>
      <c r="I190" s="602" t="e">
        <f t="shared" si="58"/>
        <v>#DIV/0!</v>
      </c>
      <c r="J190" s="602" t="e">
        <f t="shared" si="49"/>
        <v>#DIV/0!</v>
      </c>
      <c r="K190" s="3"/>
      <c r="L190" s="3"/>
      <c r="M190" s="3"/>
      <c r="N190" s="3"/>
      <c r="O190" s="3"/>
      <c r="P190" s="3"/>
      <c r="Q190" s="3"/>
    </row>
    <row r="191" spans="1:17" s="52" customFormat="1" x14ac:dyDescent="0.25">
      <c r="A191" s="167"/>
      <c r="B191" s="165">
        <v>3691</v>
      </c>
      <c r="C191" s="61"/>
      <c r="D191" s="166" t="s">
        <v>160</v>
      </c>
      <c r="E191" s="93"/>
      <c r="F191" s="93"/>
      <c r="G191" s="93"/>
      <c r="H191" s="93"/>
      <c r="I191" s="602" t="e">
        <f t="shared" si="58"/>
        <v>#DIV/0!</v>
      </c>
      <c r="J191" s="602" t="e">
        <f t="shared" si="49"/>
        <v>#DIV/0!</v>
      </c>
      <c r="K191" s="51"/>
      <c r="L191" s="51"/>
      <c r="M191" s="51"/>
      <c r="N191" s="51"/>
      <c r="O191" s="51"/>
      <c r="P191" s="51"/>
      <c r="Q191" s="51"/>
    </row>
    <row r="192" spans="1:17" s="12" customFormat="1" x14ac:dyDescent="0.25">
      <c r="A192" s="143"/>
      <c r="B192" s="165">
        <v>3692</v>
      </c>
      <c r="C192" s="61"/>
      <c r="D192" s="166" t="s">
        <v>161</v>
      </c>
      <c r="E192" s="93"/>
      <c r="F192" s="93"/>
      <c r="G192" s="93"/>
      <c r="H192" s="93"/>
      <c r="I192" s="602" t="e">
        <f t="shared" si="58"/>
        <v>#DIV/0!</v>
      </c>
      <c r="J192" s="602" t="e">
        <f t="shared" si="49"/>
        <v>#DIV/0!</v>
      </c>
      <c r="K192" s="3"/>
      <c r="L192" s="3"/>
      <c r="M192" s="3"/>
      <c r="N192" s="3"/>
      <c r="O192" s="3"/>
      <c r="P192" s="3"/>
      <c r="Q192" s="3"/>
    </row>
    <row r="193" spans="1:17" s="12" customFormat="1" x14ac:dyDescent="0.25">
      <c r="A193" s="143"/>
      <c r="B193" s="163">
        <v>37</v>
      </c>
      <c r="C193" s="120"/>
      <c r="D193" s="804" t="s">
        <v>162</v>
      </c>
      <c r="E193" s="92">
        <f t="shared" ref="E193:H194" si="69">SUM(E194)</f>
        <v>9591.11</v>
      </c>
      <c r="F193" s="92">
        <f t="shared" si="69"/>
        <v>2000</v>
      </c>
      <c r="G193" s="92">
        <f t="shared" si="69"/>
        <v>2000</v>
      </c>
      <c r="H193" s="92">
        <f t="shared" si="69"/>
        <v>0</v>
      </c>
      <c r="I193" s="606">
        <f t="shared" si="58"/>
        <v>0</v>
      </c>
      <c r="J193" s="606">
        <f t="shared" si="49"/>
        <v>0</v>
      </c>
      <c r="K193" s="3"/>
      <c r="L193" s="3"/>
      <c r="M193" s="3"/>
      <c r="N193" s="3"/>
      <c r="O193" s="3"/>
      <c r="P193" s="3"/>
      <c r="Q193" s="3"/>
    </row>
    <row r="194" spans="1:17" s="12" customFormat="1" x14ac:dyDescent="0.25">
      <c r="A194" s="143"/>
      <c r="B194" s="165">
        <v>372</v>
      </c>
      <c r="C194" s="61"/>
      <c r="D194" s="90" t="s">
        <v>163</v>
      </c>
      <c r="E194" s="93">
        <f>SUM(E195)</f>
        <v>9591.11</v>
      </c>
      <c r="F194" s="93">
        <f>SUM(F195)</f>
        <v>2000</v>
      </c>
      <c r="G194" s="93">
        <f>SUM(G195)</f>
        <v>2000</v>
      </c>
      <c r="H194" s="93">
        <f t="shared" si="69"/>
        <v>0</v>
      </c>
      <c r="I194" s="602">
        <f t="shared" si="58"/>
        <v>0</v>
      </c>
      <c r="J194" s="602">
        <f t="shared" si="49"/>
        <v>0</v>
      </c>
      <c r="K194" s="3"/>
      <c r="L194" s="3"/>
      <c r="M194" s="3"/>
      <c r="N194" s="3"/>
      <c r="O194" s="3"/>
      <c r="P194" s="3"/>
      <c r="Q194" s="3"/>
    </row>
    <row r="195" spans="1:17" s="12" customFormat="1" x14ac:dyDescent="0.25">
      <c r="A195" s="143"/>
      <c r="B195" s="165">
        <v>3721</v>
      </c>
      <c r="C195" s="148"/>
      <c r="D195" s="691" t="s">
        <v>164</v>
      </c>
      <c r="E195" s="93">
        <f>SUM(E196:E197)</f>
        <v>9591.11</v>
      </c>
      <c r="F195" s="93">
        <f>SUM(F196:F197)</f>
        <v>2000</v>
      </c>
      <c r="G195" s="93">
        <f>SUM(G196:G197)</f>
        <v>2000</v>
      </c>
      <c r="H195" s="93">
        <f t="shared" ref="H195" si="70">SUM(H196:H197)</f>
        <v>0</v>
      </c>
      <c r="I195" s="602">
        <f t="shared" si="58"/>
        <v>0</v>
      </c>
      <c r="J195" s="602">
        <f t="shared" si="49"/>
        <v>0</v>
      </c>
      <c r="K195" s="3"/>
      <c r="L195" s="3"/>
      <c r="M195" s="3"/>
      <c r="N195" s="3"/>
      <c r="O195" s="3"/>
      <c r="P195" s="3"/>
      <c r="Q195" s="3"/>
    </row>
    <row r="196" spans="1:17" s="12" customFormat="1" x14ac:dyDescent="0.25">
      <c r="A196" s="143"/>
      <c r="B196" s="474">
        <v>37212</v>
      </c>
      <c r="C196" s="61"/>
      <c r="D196" s="529" t="s">
        <v>493</v>
      </c>
      <c r="E196" s="50">
        <f>'Rekapitulacija Posebni dio'!C146</f>
        <v>0</v>
      </c>
      <c r="F196" s="50">
        <f>'Rekapitulacija Posebni dio'!D146</f>
        <v>1500</v>
      </c>
      <c r="G196" s="50">
        <f>'Rekapitulacija Posebni dio'!E146</f>
        <v>1500</v>
      </c>
      <c r="H196" s="93"/>
      <c r="I196" s="602">
        <f t="shared" si="58"/>
        <v>0</v>
      </c>
      <c r="J196" s="602">
        <f t="shared" si="49"/>
        <v>0</v>
      </c>
      <c r="K196" s="3"/>
      <c r="L196" s="3"/>
      <c r="M196" s="3"/>
      <c r="N196" s="3"/>
      <c r="O196" s="3"/>
      <c r="P196" s="3"/>
      <c r="Q196" s="3"/>
    </row>
    <row r="197" spans="1:17" s="12" customFormat="1" x14ac:dyDescent="0.25">
      <c r="A197" s="143"/>
      <c r="B197" s="395">
        <v>37215</v>
      </c>
      <c r="C197" s="21"/>
      <c r="D197" s="396" t="s">
        <v>444</v>
      </c>
      <c r="E197" s="145">
        <f>'Rekapitulacija Posebni dio'!C147</f>
        <v>9591.11</v>
      </c>
      <c r="F197" s="145">
        <f>'Rekapitulacija Posebni dio'!D147</f>
        <v>500</v>
      </c>
      <c r="G197" s="145">
        <f>'Rekapitulacija Posebni dio'!E147</f>
        <v>500</v>
      </c>
      <c r="H197" s="145">
        <f>'Rekapitulacija Posebni dio'!F147</f>
        <v>0</v>
      </c>
      <c r="I197" s="602">
        <f t="shared" si="58"/>
        <v>0</v>
      </c>
      <c r="J197" s="602">
        <f t="shared" si="49"/>
        <v>0</v>
      </c>
      <c r="K197" s="3"/>
      <c r="L197" s="3"/>
      <c r="M197" s="3"/>
      <c r="N197" s="3"/>
      <c r="O197" s="3"/>
      <c r="P197" s="3"/>
      <c r="Q197" s="3"/>
    </row>
    <row r="198" spans="1:17" s="12" customFormat="1" x14ac:dyDescent="0.25">
      <c r="A198" s="143"/>
      <c r="B198" s="22" t="s">
        <v>165</v>
      </c>
      <c r="C198" s="141"/>
      <c r="D198" s="142" t="s">
        <v>98</v>
      </c>
      <c r="E198" s="92">
        <f>E201+E199+E207</f>
        <v>186.57</v>
      </c>
      <c r="F198" s="92">
        <f>F201+F199+F207</f>
        <v>500</v>
      </c>
      <c r="G198" s="92">
        <f>G201+G199+G207</f>
        <v>500</v>
      </c>
      <c r="H198" s="92">
        <f>H201+H199+H207</f>
        <v>216.96</v>
      </c>
      <c r="I198" s="606">
        <f t="shared" si="58"/>
        <v>43.392000000000003</v>
      </c>
      <c r="J198" s="606">
        <f t="shared" si="49"/>
        <v>43.392000000000003</v>
      </c>
      <c r="K198" s="3"/>
      <c r="L198" s="3"/>
      <c r="M198" s="3"/>
      <c r="N198" s="3"/>
      <c r="O198" s="3"/>
      <c r="P198" s="3"/>
      <c r="Q198" s="3"/>
    </row>
    <row r="199" spans="1:17" s="12" customFormat="1" x14ac:dyDescent="0.25">
      <c r="A199" s="143"/>
      <c r="B199" s="43" t="s">
        <v>166</v>
      </c>
      <c r="C199" s="105"/>
      <c r="D199" s="173" t="s">
        <v>167</v>
      </c>
      <c r="E199" s="93">
        <f>E200</f>
        <v>0</v>
      </c>
      <c r="F199" s="93">
        <f>F200</f>
        <v>0</v>
      </c>
      <c r="G199" s="93">
        <f>G200</f>
        <v>0</v>
      </c>
      <c r="H199" s="93">
        <f t="shared" ref="H199" si="71">H200</f>
        <v>0</v>
      </c>
      <c r="I199" s="602" t="e">
        <f t="shared" si="58"/>
        <v>#DIV/0!</v>
      </c>
      <c r="J199" s="602" t="e">
        <f t="shared" si="49"/>
        <v>#DIV/0!</v>
      </c>
      <c r="K199" s="3"/>
      <c r="L199" s="3"/>
      <c r="M199" s="3"/>
      <c r="N199" s="3"/>
      <c r="O199" s="3"/>
      <c r="P199" s="3"/>
      <c r="Q199" s="3"/>
    </row>
    <row r="200" spans="1:17" s="12" customFormat="1" x14ac:dyDescent="0.25">
      <c r="A200" s="143"/>
      <c r="B200" s="149" t="s">
        <v>168</v>
      </c>
      <c r="C200" s="148"/>
      <c r="D200" s="207" t="s">
        <v>167</v>
      </c>
      <c r="E200" s="93"/>
      <c r="F200" s="93"/>
      <c r="G200" s="93"/>
      <c r="H200" s="93"/>
      <c r="I200" s="602" t="e">
        <f t="shared" si="58"/>
        <v>#DIV/0!</v>
      </c>
      <c r="J200" s="602" t="e">
        <f t="shared" si="49"/>
        <v>#DIV/0!</v>
      </c>
      <c r="K200" s="3"/>
      <c r="L200" s="3"/>
      <c r="M200" s="3"/>
      <c r="N200" s="3"/>
      <c r="O200" s="3"/>
      <c r="P200" s="3"/>
      <c r="Q200" s="3"/>
    </row>
    <row r="201" spans="1:17" s="12" customFormat="1" x14ac:dyDescent="0.25">
      <c r="A201" s="143"/>
      <c r="B201" s="165">
        <v>383</v>
      </c>
      <c r="C201" s="61"/>
      <c r="D201" s="166" t="s">
        <v>169</v>
      </c>
      <c r="E201" s="93">
        <f>E202+E203+E204+E206</f>
        <v>66.069999999999993</v>
      </c>
      <c r="F201" s="93">
        <f>F202+F203+F204+F206</f>
        <v>500</v>
      </c>
      <c r="G201" s="93">
        <f>G202+G203+G204+G206</f>
        <v>500</v>
      </c>
      <c r="H201" s="93">
        <f t="shared" ref="H201" si="72">H202+H203+H204+H206</f>
        <v>63.53</v>
      </c>
      <c r="I201" s="602">
        <f t="shared" si="58"/>
        <v>12.706000000000001</v>
      </c>
      <c r="J201" s="602">
        <f t="shared" si="49"/>
        <v>12.706000000000001</v>
      </c>
      <c r="K201" s="3"/>
      <c r="L201" s="3"/>
      <c r="M201" s="3"/>
      <c r="N201" s="3"/>
      <c r="O201" s="3"/>
      <c r="P201" s="3"/>
      <c r="Q201" s="3"/>
    </row>
    <row r="202" spans="1:17" s="52" customFormat="1" x14ac:dyDescent="0.25">
      <c r="A202" s="167"/>
      <c r="B202" s="165">
        <v>3831</v>
      </c>
      <c r="C202" s="61"/>
      <c r="D202" s="166" t="s">
        <v>170</v>
      </c>
      <c r="E202" s="93"/>
      <c r="F202" s="93"/>
      <c r="G202" s="93"/>
      <c r="H202" s="93"/>
      <c r="I202" s="602" t="e">
        <f t="shared" si="58"/>
        <v>#DIV/0!</v>
      </c>
      <c r="J202" s="602" t="e">
        <f t="shared" si="49"/>
        <v>#DIV/0!</v>
      </c>
      <c r="K202" s="51"/>
      <c r="L202" s="51"/>
      <c r="M202" s="51"/>
      <c r="N202" s="51"/>
      <c r="O202" s="51"/>
      <c r="P202" s="51"/>
      <c r="Q202" s="51"/>
    </row>
    <row r="203" spans="1:17" s="12" customFormat="1" x14ac:dyDescent="0.25">
      <c r="A203" s="143"/>
      <c r="B203" s="165">
        <v>3833</v>
      </c>
      <c r="C203" s="61"/>
      <c r="D203" s="166" t="s">
        <v>171</v>
      </c>
      <c r="E203" s="93"/>
      <c r="F203" s="93"/>
      <c r="G203" s="93"/>
      <c r="H203" s="93"/>
      <c r="I203" s="602" t="e">
        <f t="shared" si="58"/>
        <v>#DIV/0!</v>
      </c>
      <c r="J203" s="602" t="e">
        <f t="shared" si="49"/>
        <v>#DIV/0!</v>
      </c>
      <c r="K203" s="3"/>
      <c r="L203" s="3"/>
      <c r="M203" s="3"/>
      <c r="N203" s="3"/>
      <c r="O203" s="3"/>
      <c r="P203" s="3"/>
      <c r="Q203" s="3"/>
    </row>
    <row r="204" spans="1:17" s="12" customFormat="1" x14ac:dyDescent="0.25">
      <c r="A204" s="143"/>
      <c r="B204" s="165">
        <v>3834</v>
      </c>
      <c r="C204" s="61"/>
      <c r="D204" s="166" t="s">
        <v>172</v>
      </c>
      <c r="E204" s="93">
        <f>SUM(E205)</f>
        <v>66.069999999999993</v>
      </c>
      <c r="F204" s="93">
        <f>SUM(F205)</f>
        <v>500</v>
      </c>
      <c r="G204" s="93">
        <f>SUM(G205)</f>
        <v>500</v>
      </c>
      <c r="H204" s="93">
        <f t="shared" ref="H204" si="73">SUM(H205)</f>
        <v>63.53</v>
      </c>
      <c r="I204" s="602">
        <f t="shared" si="58"/>
        <v>12.706000000000001</v>
      </c>
      <c r="J204" s="602">
        <f t="shared" si="49"/>
        <v>12.706000000000001</v>
      </c>
      <c r="K204" s="3"/>
      <c r="L204" s="3"/>
      <c r="M204" s="3"/>
      <c r="N204" s="3"/>
      <c r="O204" s="3"/>
      <c r="P204" s="3"/>
      <c r="Q204" s="3"/>
    </row>
    <row r="205" spans="1:17" s="12" customFormat="1" x14ac:dyDescent="0.25">
      <c r="A205" s="143"/>
      <c r="B205" s="161">
        <v>38341</v>
      </c>
      <c r="C205" s="21"/>
      <c r="D205" s="162" t="s">
        <v>172</v>
      </c>
      <c r="E205" s="145">
        <f>'Rekapitulacija Posebni dio'!C155</f>
        <v>66.069999999999993</v>
      </c>
      <c r="F205" s="145">
        <f>'Rekapitulacija Posebni dio'!D155</f>
        <v>500</v>
      </c>
      <c r="G205" s="145">
        <f>'Rekapitulacija Posebni dio'!E155</f>
        <v>500</v>
      </c>
      <c r="H205" s="145">
        <f>'Rekapitulacija Posebni dio'!F155</f>
        <v>63.53</v>
      </c>
      <c r="I205" s="602">
        <f t="shared" si="58"/>
        <v>12.706000000000001</v>
      </c>
      <c r="J205" s="602">
        <f t="shared" si="49"/>
        <v>12.706000000000001</v>
      </c>
      <c r="K205" s="3"/>
      <c r="L205" s="3"/>
      <c r="M205" s="3"/>
      <c r="N205" s="3"/>
      <c r="O205" s="3"/>
      <c r="P205" s="3"/>
      <c r="Q205" s="3"/>
    </row>
    <row r="206" spans="1:17" s="12" customFormat="1" x14ac:dyDescent="0.25">
      <c r="A206" s="143"/>
      <c r="B206" s="165">
        <v>3835</v>
      </c>
      <c r="C206" s="61"/>
      <c r="D206" s="166" t="s">
        <v>173</v>
      </c>
      <c r="E206" s="93"/>
      <c r="F206" s="93"/>
      <c r="G206" s="93"/>
      <c r="H206" s="93"/>
      <c r="I206" s="602" t="e">
        <f t="shared" si="58"/>
        <v>#DIV/0!</v>
      </c>
      <c r="J206" s="602" t="e">
        <f t="shared" si="49"/>
        <v>#DIV/0!</v>
      </c>
      <c r="K206" s="3"/>
      <c r="L206" s="3"/>
      <c r="M206" s="3"/>
      <c r="N206" s="3"/>
      <c r="O206" s="3"/>
      <c r="P206" s="3"/>
      <c r="Q206" s="3"/>
    </row>
    <row r="207" spans="1:17" s="12" customFormat="1" x14ac:dyDescent="0.25">
      <c r="A207" s="143"/>
      <c r="B207" s="393">
        <v>385</v>
      </c>
      <c r="C207" s="394"/>
      <c r="D207" s="394" t="s">
        <v>169</v>
      </c>
      <c r="E207" s="93">
        <f>E210</f>
        <v>120.5</v>
      </c>
      <c r="F207" s="93">
        <f>F210</f>
        <v>0</v>
      </c>
      <c r="G207" s="93">
        <f>G208+G210</f>
        <v>0</v>
      </c>
      <c r="H207" s="93">
        <f>H208+H210</f>
        <v>153.43</v>
      </c>
      <c r="I207" s="602" t="e">
        <f t="shared" si="58"/>
        <v>#DIV/0!</v>
      </c>
      <c r="J207" s="602" t="e">
        <f t="shared" si="49"/>
        <v>#DIV/0!</v>
      </c>
      <c r="K207" s="3"/>
      <c r="L207" s="3"/>
      <c r="M207" s="3"/>
      <c r="N207" s="3"/>
      <c r="O207" s="3"/>
      <c r="P207" s="3"/>
      <c r="Q207" s="3"/>
    </row>
    <row r="208" spans="1:17" s="12" customFormat="1" x14ac:dyDescent="0.25">
      <c r="A208" s="143"/>
      <c r="B208" s="393">
        <v>3851</v>
      </c>
      <c r="C208" s="394"/>
      <c r="D208" s="394" t="s">
        <v>625</v>
      </c>
      <c r="E208" s="93"/>
      <c r="F208" s="93"/>
      <c r="G208" s="93">
        <f>G209</f>
        <v>0</v>
      </c>
      <c r="H208" s="93">
        <f>H209</f>
        <v>153.43</v>
      </c>
      <c r="I208" s="602"/>
      <c r="J208" s="602" t="e">
        <f t="shared" si="49"/>
        <v>#DIV/0!</v>
      </c>
      <c r="K208" s="3"/>
      <c r="L208" s="3"/>
      <c r="M208" s="3"/>
      <c r="N208" s="3"/>
      <c r="O208" s="3"/>
      <c r="P208" s="3"/>
      <c r="Q208" s="3"/>
    </row>
    <row r="209" spans="1:17" s="12" customFormat="1" x14ac:dyDescent="0.25">
      <c r="A209" s="143"/>
      <c r="B209" s="474">
        <v>38511</v>
      </c>
      <c r="C209" s="529"/>
      <c r="D209" s="529" t="s">
        <v>626</v>
      </c>
      <c r="E209" s="50"/>
      <c r="F209" s="50"/>
      <c r="G209" s="50">
        <f>'Rekapitulacija Posebni dio'!E159</f>
        <v>0</v>
      </c>
      <c r="H209" s="50">
        <f>'Rekapitulacija Posebni dio'!F159</f>
        <v>153.43</v>
      </c>
      <c r="I209" s="602"/>
      <c r="J209" s="602" t="e">
        <f t="shared" si="49"/>
        <v>#DIV/0!</v>
      </c>
      <c r="K209" s="3"/>
      <c r="L209" s="3"/>
      <c r="M209" s="3"/>
      <c r="N209" s="3"/>
      <c r="O209" s="3"/>
      <c r="P209" s="3"/>
      <c r="Q209" s="3"/>
    </row>
    <row r="210" spans="1:17" s="12" customFormat="1" x14ac:dyDescent="0.25">
      <c r="A210" s="143"/>
      <c r="B210" s="393">
        <v>3859</v>
      </c>
      <c r="C210" s="394"/>
      <c r="D210" s="394" t="s">
        <v>298</v>
      </c>
      <c r="E210" s="93">
        <f>E211</f>
        <v>120.5</v>
      </c>
      <c r="F210" s="93">
        <f>F211</f>
        <v>0</v>
      </c>
      <c r="G210" s="93">
        <f>G211</f>
        <v>0</v>
      </c>
      <c r="H210" s="93">
        <f>H211</f>
        <v>0</v>
      </c>
      <c r="I210" s="602" t="e">
        <f t="shared" si="58"/>
        <v>#DIV/0!</v>
      </c>
      <c r="J210" s="602" t="e">
        <f t="shared" si="49"/>
        <v>#DIV/0!</v>
      </c>
      <c r="K210" s="3"/>
      <c r="L210" s="3"/>
      <c r="M210" s="3"/>
      <c r="N210" s="3"/>
      <c r="O210" s="3"/>
      <c r="P210" s="3"/>
      <c r="Q210" s="3"/>
    </row>
    <row r="211" spans="1:17" s="12" customFormat="1" x14ac:dyDescent="0.25">
      <c r="A211" s="143"/>
      <c r="B211" s="395">
        <v>38591</v>
      </c>
      <c r="C211" s="396"/>
      <c r="D211" s="396" t="s">
        <v>298</v>
      </c>
      <c r="E211" s="145">
        <f>'Rekapitulacija Posebni dio'!C161</f>
        <v>120.5</v>
      </c>
      <c r="F211" s="145">
        <f>'Rekapitulacija Posebni dio'!D161</f>
        <v>0</v>
      </c>
      <c r="G211" s="145">
        <f>'Rekapitulacija Posebni dio'!E161</f>
        <v>0</v>
      </c>
      <c r="H211" s="145">
        <f>'Rekapitulacija Posebni dio'!F161</f>
        <v>0</v>
      </c>
      <c r="I211" s="602"/>
      <c r="J211" s="602" t="e">
        <f t="shared" si="49"/>
        <v>#DIV/0!</v>
      </c>
      <c r="K211" s="3"/>
      <c r="L211" s="3"/>
      <c r="M211" s="3"/>
      <c r="N211" s="3"/>
      <c r="O211" s="3"/>
      <c r="P211" s="3"/>
      <c r="Q211" s="3"/>
    </row>
    <row r="212" spans="1:17" s="12" customFormat="1" x14ac:dyDescent="0.25">
      <c r="A212" s="175">
        <v>4</v>
      </c>
      <c r="B212" s="176"/>
      <c r="C212" s="177"/>
      <c r="D212" s="178" t="s">
        <v>174</v>
      </c>
      <c r="E212" s="119">
        <f>E213+E218+E240</f>
        <v>3269.45</v>
      </c>
      <c r="F212" s="119">
        <f>F213+F218+F240</f>
        <v>125512.17000000001</v>
      </c>
      <c r="G212" s="119">
        <f>G213+G218+G240</f>
        <v>125512.17000000001</v>
      </c>
      <c r="H212" s="119">
        <f t="shared" ref="H212" si="74">H213+H218+H240</f>
        <v>169919.99</v>
      </c>
      <c r="I212" s="600">
        <f t="shared" si="58"/>
        <v>135.38128613344824</v>
      </c>
      <c r="J212" s="600">
        <f t="shared" si="49"/>
        <v>135.38128613344824</v>
      </c>
      <c r="K212" s="3"/>
      <c r="L212" s="3"/>
      <c r="M212" s="3"/>
      <c r="N212" s="3"/>
      <c r="O212" s="3"/>
      <c r="P212" s="3"/>
      <c r="Q212" s="3"/>
    </row>
    <row r="213" spans="1:17" s="12" customFormat="1" x14ac:dyDescent="0.25">
      <c r="A213" s="54"/>
      <c r="B213" s="22" t="s">
        <v>175</v>
      </c>
      <c r="C213" s="141"/>
      <c r="D213" s="179" t="s">
        <v>176</v>
      </c>
      <c r="E213" s="92">
        <f>SUM(E216)</f>
        <v>0</v>
      </c>
      <c r="F213" s="92">
        <f>SUM(F216)</f>
        <v>0</v>
      </c>
      <c r="G213" s="92">
        <f>SUM(G216)</f>
        <v>0</v>
      </c>
      <c r="H213" s="92">
        <f t="shared" ref="H213" si="75">SUM(H216)</f>
        <v>0</v>
      </c>
      <c r="I213" s="606" t="e">
        <f t="shared" si="58"/>
        <v>#DIV/0!</v>
      </c>
      <c r="J213" s="606" t="e">
        <f t="shared" si="49"/>
        <v>#DIV/0!</v>
      </c>
      <c r="K213" s="3"/>
      <c r="L213" s="3"/>
      <c r="M213" s="3"/>
      <c r="N213" s="3"/>
      <c r="O213" s="3"/>
      <c r="P213" s="3"/>
      <c r="Q213" s="3"/>
    </row>
    <row r="214" spans="1:17" s="12" customFormat="1" hidden="1" x14ac:dyDescent="0.25">
      <c r="A214" s="54"/>
      <c r="B214" s="149" t="s">
        <v>177</v>
      </c>
      <c r="C214" s="148"/>
      <c r="D214" s="180" t="s">
        <v>178</v>
      </c>
      <c r="E214" s="93">
        <f>SUM(E215)</f>
        <v>0</v>
      </c>
      <c r="F214" s="93">
        <f>SUM(F215)</f>
        <v>0</v>
      </c>
      <c r="G214" s="93">
        <f>SUM(G215)</f>
        <v>0</v>
      </c>
      <c r="H214" s="93">
        <f t="shared" ref="H214" si="76">SUM(H215)</f>
        <v>0</v>
      </c>
      <c r="I214" s="602" t="e">
        <f t="shared" si="58"/>
        <v>#DIV/0!</v>
      </c>
      <c r="J214" s="602" t="e">
        <f t="shared" si="49"/>
        <v>#DIV/0!</v>
      </c>
      <c r="K214" s="3"/>
      <c r="L214" s="3"/>
      <c r="M214" s="3"/>
      <c r="N214" s="3"/>
      <c r="O214" s="3"/>
      <c r="P214" s="3"/>
      <c r="Q214" s="3"/>
    </row>
    <row r="215" spans="1:17" s="12" customFormat="1" hidden="1" x14ac:dyDescent="0.25">
      <c r="A215" s="54"/>
      <c r="B215" s="48" t="s">
        <v>179</v>
      </c>
      <c r="C215" s="167"/>
      <c r="D215" s="181" t="s">
        <v>180</v>
      </c>
      <c r="E215" s="50"/>
      <c r="F215" s="50"/>
      <c r="G215" s="50"/>
      <c r="H215" s="50"/>
      <c r="I215" s="602" t="e">
        <f t="shared" si="58"/>
        <v>#DIV/0!</v>
      </c>
      <c r="J215" s="602" t="e">
        <f t="shared" si="49"/>
        <v>#DIV/0!</v>
      </c>
      <c r="K215" s="3"/>
      <c r="L215" s="3"/>
      <c r="M215" s="3"/>
      <c r="N215" s="3"/>
      <c r="O215" s="3"/>
      <c r="P215" s="3"/>
      <c r="Q215" s="3"/>
    </row>
    <row r="216" spans="1:17" s="12" customFormat="1" hidden="1" x14ac:dyDescent="0.25">
      <c r="A216" s="54"/>
      <c r="B216" s="79">
        <v>412</v>
      </c>
      <c r="C216" s="53"/>
      <c r="D216" s="182" t="s">
        <v>181</v>
      </c>
      <c r="E216" s="93">
        <f>SUM(E217)</f>
        <v>0</v>
      </c>
      <c r="F216" s="93">
        <f>SUM(F217)</f>
        <v>0</v>
      </c>
      <c r="G216" s="93">
        <f>SUM(G217)</f>
        <v>0</v>
      </c>
      <c r="H216" s="93">
        <f t="shared" ref="H216" si="77">SUM(H217)</f>
        <v>0</v>
      </c>
      <c r="I216" s="602" t="e">
        <f t="shared" si="58"/>
        <v>#DIV/0!</v>
      </c>
      <c r="J216" s="602" t="e">
        <f t="shared" si="49"/>
        <v>#DIV/0!</v>
      </c>
      <c r="K216" s="3"/>
      <c r="L216" s="3"/>
      <c r="M216" s="3"/>
      <c r="N216" s="3"/>
      <c r="O216" s="3"/>
      <c r="P216" s="3"/>
      <c r="Q216" s="3"/>
    </row>
    <row r="217" spans="1:17" s="52" customFormat="1" hidden="1" x14ac:dyDescent="0.25">
      <c r="A217" s="98"/>
      <c r="B217" s="183">
        <v>4123</v>
      </c>
      <c r="C217" s="64"/>
      <c r="D217" s="184" t="s">
        <v>182</v>
      </c>
      <c r="E217" s="50"/>
      <c r="F217" s="50"/>
      <c r="G217" s="50"/>
      <c r="H217" s="50"/>
      <c r="I217" s="602" t="e">
        <f t="shared" si="58"/>
        <v>#DIV/0!</v>
      </c>
      <c r="J217" s="602" t="e">
        <f t="shared" si="49"/>
        <v>#DIV/0!</v>
      </c>
      <c r="K217" s="51"/>
      <c r="L217" s="51"/>
      <c r="M217" s="51"/>
      <c r="N217" s="51"/>
      <c r="O217" s="51"/>
      <c r="P217" s="51"/>
      <c r="Q217" s="51"/>
    </row>
    <row r="218" spans="1:17" s="12" customFormat="1" x14ac:dyDescent="0.25">
      <c r="A218" s="143"/>
      <c r="B218" s="22">
        <v>42</v>
      </c>
      <c r="C218" s="141"/>
      <c r="D218" s="142" t="s">
        <v>183</v>
      </c>
      <c r="E218" s="92">
        <f>SUM(E219,E235,E238)</f>
        <v>3269.45</v>
      </c>
      <c r="F218" s="92">
        <f>SUM(F219,F235,F238)</f>
        <v>102328.35</v>
      </c>
      <c r="G218" s="92">
        <f>SUM(G219,G235,G238)</f>
        <v>102328.35</v>
      </c>
      <c r="H218" s="92">
        <f t="shared" ref="H218" si="78">SUM(H219,H235,H238)</f>
        <v>138918.74</v>
      </c>
      <c r="I218" s="606">
        <f t="shared" si="58"/>
        <v>135.7578227343644</v>
      </c>
      <c r="J218" s="606">
        <f t="shared" si="49"/>
        <v>135.7578227343644</v>
      </c>
      <c r="K218" s="3"/>
      <c r="L218" s="3"/>
      <c r="M218" s="3"/>
      <c r="N218" s="3"/>
      <c r="O218" s="3"/>
      <c r="P218" s="3"/>
      <c r="Q218" s="3"/>
    </row>
    <row r="219" spans="1:17" s="12" customFormat="1" x14ac:dyDescent="0.25">
      <c r="A219" s="143"/>
      <c r="B219" s="43">
        <v>422</v>
      </c>
      <c r="C219" s="143"/>
      <c r="D219" s="105" t="s">
        <v>184</v>
      </c>
      <c r="E219" s="93">
        <f>E220+E225+E228+E231+E233</f>
        <v>3269.45</v>
      </c>
      <c r="F219" s="93">
        <f>F220+F225+F228+F231+F233</f>
        <v>95606.07</v>
      </c>
      <c r="G219" s="93">
        <f>G220+G225+G228+G231+G233</f>
        <v>95606.07</v>
      </c>
      <c r="H219" s="93">
        <f t="shared" ref="H219" si="79">H220+H225+H228+H231+H233</f>
        <v>138918.74</v>
      </c>
      <c r="I219" s="602">
        <f t="shared" si="58"/>
        <v>145.3032636944495</v>
      </c>
      <c r="J219" s="602">
        <f t="shared" si="49"/>
        <v>145.3032636944495</v>
      </c>
      <c r="K219" s="3"/>
      <c r="L219" s="3"/>
      <c r="M219" s="3"/>
      <c r="N219" s="3"/>
      <c r="O219" s="3"/>
      <c r="P219" s="3"/>
      <c r="Q219" s="3"/>
    </row>
    <row r="220" spans="1:17" s="12" customFormat="1" x14ac:dyDescent="0.25">
      <c r="A220" s="143"/>
      <c r="B220" s="149" t="s">
        <v>185</v>
      </c>
      <c r="C220" s="148"/>
      <c r="D220" s="148" t="s">
        <v>186</v>
      </c>
      <c r="E220" s="93">
        <f>SUM(E221:E223)</f>
        <v>668.13</v>
      </c>
      <c r="F220" s="93">
        <f>SUM(F221:F223)</f>
        <v>13272.28</v>
      </c>
      <c r="G220" s="93">
        <f>SUM(G221:G223)</f>
        <v>13272.28</v>
      </c>
      <c r="H220" s="93">
        <f>SUM(H221:H223)</f>
        <v>0</v>
      </c>
      <c r="I220" s="602">
        <f t="shared" si="58"/>
        <v>0</v>
      </c>
      <c r="J220" s="602">
        <f t="shared" si="49"/>
        <v>0</v>
      </c>
      <c r="K220" s="3"/>
      <c r="L220" s="3"/>
      <c r="M220" s="3"/>
      <c r="N220" s="3"/>
      <c r="O220" s="3"/>
      <c r="P220" s="3"/>
      <c r="Q220" s="3"/>
    </row>
    <row r="221" spans="1:17" s="12" customFormat="1" x14ac:dyDescent="0.25">
      <c r="A221" s="143"/>
      <c r="B221" s="48">
        <v>42211</v>
      </c>
      <c r="C221" s="148"/>
      <c r="D221" s="167" t="s">
        <v>445</v>
      </c>
      <c r="E221" s="50">
        <f>'Rekapitulacija Posebni dio'!C172</f>
        <v>253.13</v>
      </c>
      <c r="F221" s="50">
        <f>'Rekapitulacija Posebni dio'!D172</f>
        <v>1250</v>
      </c>
      <c r="G221" s="50">
        <f>'Rekapitulacija Posebni dio'!E172</f>
        <v>1250</v>
      </c>
      <c r="H221" s="50">
        <f>'Rekapitulacija Posebni dio'!F172</f>
        <v>0</v>
      </c>
      <c r="I221" s="602">
        <f t="shared" si="58"/>
        <v>0</v>
      </c>
      <c r="J221" s="602">
        <f t="shared" ref="J221:J284" si="80">H221/G221*100</f>
        <v>0</v>
      </c>
      <c r="K221" s="3"/>
      <c r="L221" s="3"/>
      <c r="M221" s="3"/>
      <c r="N221" s="3"/>
      <c r="O221" s="3"/>
      <c r="P221" s="3"/>
      <c r="Q221" s="3"/>
    </row>
    <row r="222" spans="1:17" s="12" customFormat="1" x14ac:dyDescent="0.25">
      <c r="A222" s="143"/>
      <c r="B222" s="48">
        <v>42212</v>
      </c>
      <c r="C222" s="148"/>
      <c r="D222" s="167" t="s">
        <v>446</v>
      </c>
      <c r="E222" s="50">
        <f>'Rekapitulacija Posebni dio'!C173</f>
        <v>415</v>
      </c>
      <c r="F222" s="50">
        <f>'Rekapitulacija Posebni dio'!D173</f>
        <v>10672.28</v>
      </c>
      <c r="G222" s="50">
        <f>'Rekapitulacija Posebni dio'!E173</f>
        <v>10672.28</v>
      </c>
      <c r="H222" s="50">
        <f>'Rekapitulacija Posebni dio'!F173</f>
        <v>0</v>
      </c>
      <c r="I222" s="602">
        <f t="shared" si="58"/>
        <v>0</v>
      </c>
      <c r="J222" s="602">
        <f t="shared" si="80"/>
        <v>0</v>
      </c>
      <c r="K222" s="3"/>
      <c r="L222" s="3"/>
      <c r="M222" s="3"/>
      <c r="N222" s="3"/>
      <c r="O222" s="3"/>
      <c r="P222" s="3"/>
      <c r="Q222" s="3"/>
    </row>
    <row r="223" spans="1:17" s="12" customFormat="1" x14ac:dyDescent="0.25">
      <c r="A223" s="143"/>
      <c r="B223" s="144" t="s">
        <v>533</v>
      </c>
      <c r="C223" s="143"/>
      <c r="D223" s="143" t="s">
        <v>447</v>
      </c>
      <c r="E223" s="145">
        <f>'Rekapitulacija Posebni dio'!C174</f>
        <v>0</v>
      </c>
      <c r="F223" s="145">
        <f>'Rekapitulacija Posebni dio'!D174</f>
        <v>1350</v>
      </c>
      <c r="G223" s="145">
        <f>'Rekapitulacija Posebni dio'!E174</f>
        <v>1350</v>
      </c>
      <c r="H223" s="145">
        <f>'Rekapitulacija Posebni dio'!F174</f>
        <v>0</v>
      </c>
      <c r="I223" s="602">
        <f t="shared" si="58"/>
        <v>0</v>
      </c>
      <c r="J223" s="602">
        <f t="shared" si="80"/>
        <v>0</v>
      </c>
      <c r="K223" s="3"/>
      <c r="L223" s="3"/>
      <c r="M223" s="3"/>
      <c r="N223" s="3"/>
      <c r="O223" s="3"/>
      <c r="P223" s="3"/>
      <c r="Q223" s="3"/>
    </row>
    <row r="224" spans="1:17" s="12" customFormat="1" x14ac:dyDescent="0.25">
      <c r="A224" s="143"/>
      <c r="B224" s="149" t="s">
        <v>187</v>
      </c>
      <c r="C224" s="148"/>
      <c r="D224" s="148" t="s">
        <v>188</v>
      </c>
      <c r="E224" s="93"/>
      <c r="F224" s="93"/>
      <c r="G224" s="93"/>
      <c r="H224" s="93"/>
      <c r="I224" s="602" t="e">
        <f t="shared" si="58"/>
        <v>#DIV/0!</v>
      </c>
      <c r="J224" s="602" t="e">
        <f t="shared" si="80"/>
        <v>#DIV/0!</v>
      </c>
      <c r="K224" s="3"/>
      <c r="L224" s="3"/>
      <c r="M224" s="3"/>
      <c r="N224" s="3"/>
      <c r="O224" s="3"/>
      <c r="P224" s="3"/>
      <c r="Q224" s="3"/>
    </row>
    <row r="225" spans="1:17" s="12" customFormat="1" x14ac:dyDescent="0.25">
      <c r="A225" s="143"/>
      <c r="B225" s="185">
        <v>4223</v>
      </c>
      <c r="C225" s="60"/>
      <c r="D225" s="186" t="s">
        <v>189</v>
      </c>
      <c r="E225" s="93">
        <f>SUM(E226:E227)</f>
        <v>956.6</v>
      </c>
      <c r="F225" s="93">
        <f>SUM(F226:F227)</f>
        <v>13272.28</v>
      </c>
      <c r="G225" s="93">
        <f>SUM(G226:G227)</f>
        <v>13272.28</v>
      </c>
      <c r="H225" s="93">
        <f t="shared" ref="H225" si="81">SUM(H226:H227)</f>
        <v>0</v>
      </c>
      <c r="I225" s="602">
        <f t="shared" si="58"/>
        <v>0</v>
      </c>
      <c r="J225" s="602">
        <f t="shared" si="80"/>
        <v>0</v>
      </c>
      <c r="K225" s="3"/>
      <c r="L225" s="3"/>
      <c r="M225" s="3"/>
      <c r="N225" s="3"/>
      <c r="O225" s="3"/>
      <c r="P225" s="3"/>
      <c r="Q225" s="3"/>
    </row>
    <row r="226" spans="1:17" s="12" customFormat="1" x14ac:dyDescent="0.25">
      <c r="A226" s="143"/>
      <c r="B226" s="144" t="s">
        <v>510</v>
      </c>
      <c r="C226" s="143"/>
      <c r="D226" s="476" t="s">
        <v>449</v>
      </c>
      <c r="E226" s="145">
        <f>'Rekapitulacija Posebni dio'!C177</f>
        <v>956.6</v>
      </c>
      <c r="F226" s="145">
        <f>'Rekapitulacija Posebni dio'!D177</f>
        <v>12922.28</v>
      </c>
      <c r="G226" s="145">
        <f>'Rekapitulacija Posebni dio'!E177</f>
        <v>12922.28</v>
      </c>
      <c r="H226" s="145">
        <f>'Rekapitulacija Posebni dio'!F177</f>
        <v>0</v>
      </c>
      <c r="I226" s="602">
        <f t="shared" si="58"/>
        <v>0</v>
      </c>
      <c r="J226" s="602">
        <f t="shared" si="80"/>
        <v>0</v>
      </c>
      <c r="K226" s="3"/>
      <c r="L226" s="3"/>
      <c r="M226" s="3"/>
      <c r="N226" s="3"/>
      <c r="O226" s="3"/>
      <c r="P226" s="3"/>
      <c r="Q226" s="3"/>
    </row>
    <row r="227" spans="1:17" s="52" customFormat="1" x14ac:dyDescent="0.25">
      <c r="A227" s="98"/>
      <c r="B227" s="183">
        <v>42232</v>
      </c>
      <c r="C227" s="64"/>
      <c r="D227" s="452" t="s">
        <v>448</v>
      </c>
      <c r="E227" s="145">
        <f>'Rekapitulacija Posebni dio'!C178</f>
        <v>0</v>
      </c>
      <c r="F227" s="145">
        <f>'Rekapitulacija Posebni dio'!D178</f>
        <v>350</v>
      </c>
      <c r="G227" s="145">
        <f>'Rekapitulacija Posebni dio'!E178</f>
        <v>350</v>
      </c>
      <c r="H227" s="145">
        <f>'Rekapitulacija Posebni dio'!F178</f>
        <v>0</v>
      </c>
      <c r="I227" s="602">
        <f t="shared" si="58"/>
        <v>0</v>
      </c>
      <c r="J227" s="602">
        <f t="shared" si="80"/>
        <v>0</v>
      </c>
      <c r="K227" s="51"/>
      <c r="L227" s="51"/>
      <c r="M227" s="51"/>
      <c r="N227" s="51"/>
      <c r="O227" s="51"/>
      <c r="P227" s="51"/>
      <c r="Q227" s="51"/>
    </row>
    <row r="228" spans="1:17" s="52" customFormat="1" x14ac:dyDescent="0.25">
      <c r="A228" s="98"/>
      <c r="B228" s="185">
        <v>4224</v>
      </c>
      <c r="C228" s="60"/>
      <c r="D228" s="186" t="s">
        <v>190</v>
      </c>
      <c r="E228" s="93">
        <f>SUM(E229:E230)</f>
        <v>1264.33</v>
      </c>
      <c r="F228" s="93">
        <f>SUM(F229:F230)</f>
        <v>59725.26</v>
      </c>
      <c r="G228" s="93">
        <f>SUM(G229:G230)</f>
        <v>59725.26</v>
      </c>
      <c r="H228" s="93">
        <f t="shared" ref="H228" si="82">SUM(H229:H230)</f>
        <v>132818.75</v>
      </c>
      <c r="I228" s="602">
        <f t="shared" si="58"/>
        <v>222.38287451574092</v>
      </c>
      <c r="J228" s="602">
        <f t="shared" si="80"/>
        <v>222.38287451574092</v>
      </c>
      <c r="K228" s="51"/>
      <c r="L228" s="51"/>
      <c r="M228" s="51"/>
      <c r="N228" s="51"/>
      <c r="O228" s="51"/>
      <c r="P228" s="51"/>
      <c r="Q228" s="51"/>
    </row>
    <row r="229" spans="1:17" s="52" customFormat="1" x14ac:dyDescent="0.25">
      <c r="A229" s="98"/>
      <c r="B229" s="183">
        <v>42241</v>
      </c>
      <c r="C229" s="64"/>
      <c r="D229" s="184" t="s">
        <v>450</v>
      </c>
      <c r="E229" s="145">
        <f>'Rekapitulacija Posebni dio'!C180</f>
        <v>1264.33</v>
      </c>
      <c r="F229" s="145">
        <f>'Rekapitulacija Posebni dio'!D180</f>
        <v>57475.26</v>
      </c>
      <c r="G229" s="145">
        <f>'Rekapitulacija Posebni dio'!E180</f>
        <v>57475.26</v>
      </c>
      <c r="H229" s="145">
        <f>'Rekapitulacija Posebni dio'!F180</f>
        <v>132818.75</v>
      </c>
      <c r="I229" s="602">
        <f t="shared" si="58"/>
        <v>231.08855879903808</v>
      </c>
      <c r="J229" s="602">
        <f t="shared" si="80"/>
        <v>231.08855879903808</v>
      </c>
      <c r="K229" s="51"/>
      <c r="L229" s="51"/>
      <c r="M229" s="51"/>
      <c r="N229" s="51"/>
      <c r="O229" s="51"/>
      <c r="P229" s="51"/>
      <c r="Q229" s="51"/>
    </row>
    <row r="230" spans="1:17" s="52" customFormat="1" x14ac:dyDescent="0.25">
      <c r="A230" s="98"/>
      <c r="B230" s="183">
        <v>42242</v>
      </c>
      <c r="C230" s="64"/>
      <c r="D230" s="184" t="s">
        <v>451</v>
      </c>
      <c r="E230" s="145">
        <f>'Rekapitulacija Posebni dio'!C181</f>
        <v>0</v>
      </c>
      <c r="F230" s="145">
        <f>'Rekapitulacija Posebni dio'!D181</f>
        <v>2250</v>
      </c>
      <c r="G230" s="145">
        <f>'Rekapitulacija Posebni dio'!E181</f>
        <v>2250</v>
      </c>
      <c r="H230" s="145">
        <f>'Rekapitulacija Posebni dio'!F181</f>
        <v>0</v>
      </c>
      <c r="I230" s="602">
        <f t="shared" si="58"/>
        <v>0</v>
      </c>
      <c r="J230" s="602">
        <f t="shared" si="80"/>
        <v>0</v>
      </c>
      <c r="K230" s="51"/>
      <c r="L230" s="51"/>
      <c r="M230" s="51"/>
      <c r="N230" s="51"/>
      <c r="O230" s="51"/>
      <c r="P230" s="51"/>
      <c r="Q230" s="51"/>
    </row>
    <row r="231" spans="1:17" s="52" customFormat="1" x14ac:dyDescent="0.25">
      <c r="A231" s="98"/>
      <c r="B231" s="185">
        <v>4225</v>
      </c>
      <c r="C231" s="60"/>
      <c r="D231" s="186" t="s">
        <v>191</v>
      </c>
      <c r="E231" s="93">
        <f>SUM(E232)</f>
        <v>0</v>
      </c>
      <c r="F231" s="93">
        <f>SUM(F232)</f>
        <v>5354.57</v>
      </c>
      <c r="G231" s="93">
        <f>SUM(G232)</f>
        <v>5354.57</v>
      </c>
      <c r="H231" s="93">
        <f t="shared" ref="H231" si="83">SUM(H232)</f>
        <v>5850</v>
      </c>
      <c r="I231" s="602">
        <f t="shared" ref="I231:I294" si="84">H231/F231*100</f>
        <v>109.25247031974557</v>
      </c>
      <c r="J231" s="602">
        <f t="shared" si="80"/>
        <v>109.25247031974557</v>
      </c>
      <c r="K231" s="51"/>
      <c r="L231" s="51"/>
      <c r="M231" s="51"/>
      <c r="N231" s="51"/>
      <c r="O231" s="51"/>
      <c r="P231" s="51"/>
      <c r="Q231" s="51"/>
    </row>
    <row r="232" spans="1:17" s="52" customFormat="1" x14ac:dyDescent="0.25">
      <c r="A232" s="98"/>
      <c r="B232" s="183">
        <v>42259</v>
      </c>
      <c r="C232" s="64"/>
      <c r="D232" s="184" t="s">
        <v>495</v>
      </c>
      <c r="E232" s="145">
        <f>'Rekapitulacija Posebni dio'!C183</f>
        <v>0</v>
      </c>
      <c r="F232" s="145">
        <f>'Rekapitulacija Posebni dio'!D183</f>
        <v>5354.57</v>
      </c>
      <c r="G232" s="145">
        <f>'Rekapitulacija Posebni dio'!E183</f>
        <v>5354.57</v>
      </c>
      <c r="H232" s="145">
        <f>'Rekapitulacija Posebni dio'!F183</f>
        <v>5850</v>
      </c>
      <c r="I232" s="602">
        <f t="shared" si="84"/>
        <v>109.25247031974557</v>
      </c>
      <c r="J232" s="602">
        <f t="shared" si="80"/>
        <v>109.25247031974557</v>
      </c>
      <c r="K232" s="51"/>
      <c r="L232" s="51"/>
      <c r="M232" s="51"/>
      <c r="N232" s="51"/>
      <c r="O232" s="51"/>
      <c r="P232" s="51"/>
      <c r="Q232" s="51"/>
    </row>
    <row r="233" spans="1:17" s="52" customFormat="1" x14ac:dyDescent="0.25">
      <c r="A233" s="98"/>
      <c r="B233" s="185">
        <v>4227</v>
      </c>
      <c r="C233" s="60"/>
      <c r="D233" s="186" t="s">
        <v>192</v>
      </c>
      <c r="E233" s="93">
        <f>SUM(E234)</f>
        <v>380.39</v>
      </c>
      <c r="F233" s="93">
        <f>SUM(F234)</f>
        <v>3981.68</v>
      </c>
      <c r="G233" s="93">
        <f>SUM(G234)</f>
        <v>3981.68</v>
      </c>
      <c r="H233" s="93">
        <f t="shared" ref="H233" si="85">SUM(H234)</f>
        <v>249.99</v>
      </c>
      <c r="I233" s="602">
        <f t="shared" si="84"/>
        <v>6.2785055554439335</v>
      </c>
      <c r="J233" s="602">
        <f t="shared" si="80"/>
        <v>6.2785055554439335</v>
      </c>
      <c r="K233" s="51"/>
      <c r="L233" s="51"/>
      <c r="M233" s="51"/>
      <c r="N233" s="51"/>
      <c r="O233" s="51"/>
      <c r="P233" s="51"/>
      <c r="Q233" s="51"/>
    </row>
    <row r="234" spans="1:17" s="52" customFormat="1" x14ac:dyDescent="0.25">
      <c r="A234" s="98"/>
      <c r="B234" s="183">
        <v>42273</v>
      </c>
      <c r="C234" s="64"/>
      <c r="D234" s="184" t="s">
        <v>192</v>
      </c>
      <c r="E234" s="145">
        <f>'Rekapitulacija Posebni dio'!C185</f>
        <v>380.39</v>
      </c>
      <c r="F234" s="145">
        <f>'Rekapitulacija Posebni dio'!D185</f>
        <v>3981.68</v>
      </c>
      <c r="G234" s="145">
        <f>'Rekapitulacija Posebni dio'!E185</f>
        <v>3981.68</v>
      </c>
      <c r="H234" s="145">
        <f>'Rekapitulacija Posebni dio'!F185</f>
        <v>249.99</v>
      </c>
      <c r="I234" s="602">
        <f t="shared" si="84"/>
        <v>6.2785055554439335</v>
      </c>
      <c r="J234" s="602">
        <f t="shared" si="80"/>
        <v>6.2785055554439335</v>
      </c>
      <c r="K234" s="51"/>
      <c r="L234" s="51"/>
      <c r="M234" s="51"/>
      <c r="N234" s="51"/>
      <c r="O234" s="51"/>
      <c r="P234" s="51"/>
      <c r="Q234" s="51"/>
    </row>
    <row r="235" spans="1:17" s="68" customFormat="1" x14ac:dyDescent="0.25">
      <c r="A235" s="85"/>
      <c r="B235" s="185">
        <v>423</v>
      </c>
      <c r="C235" s="60"/>
      <c r="D235" s="186" t="s">
        <v>193</v>
      </c>
      <c r="E235" s="93">
        <f>E236</f>
        <v>0</v>
      </c>
      <c r="F235" s="93">
        <f>F236</f>
        <v>6722.28</v>
      </c>
      <c r="G235" s="93">
        <f>G236</f>
        <v>6722.28</v>
      </c>
      <c r="H235" s="93">
        <f t="shared" ref="H235" si="86">H236</f>
        <v>0</v>
      </c>
      <c r="I235" s="602">
        <f t="shared" si="84"/>
        <v>0</v>
      </c>
      <c r="J235" s="602">
        <f t="shared" si="80"/>
        <v>0</v>
      </c>
      <c r="K235" s="67"/>
      <c r="L235" s="67"/>
      <c r="M235" s="67"/>
      <c r="N235" s="67"/>
      <c r="O235" s="67"/>
      <c r="P235" s="67"/>
      <c r="Q235" s="67"/>
    </row>
    <row r="236" spans="1:17" s="68" customFormat="1" x14ac:dyDescent="0.25">
      <c r="A236" s="85"/>
      <c r="B236" s="183">
        <v>4231</v>
      </c>
      <c r="C236" s="64"/>
      <c r="D236" s="184" t="s">
        <v>193</v>
      </c>
      <c r="E236" s="93">
        <f>SUM(E237)</f>
        <v>0</v>
      </c>
      <c r="F236" s="93">
        <f>SUM(F237)</f>
        <v>6722.28</v>
      </c>
      <c r="G236" s="93">
        <f>SUM(G237)</f>
        <v>6722.28</v>
      </c>
      <c r="H236" s="93">
        <f t="shared" ref="H236" si="87">SUM(H237)</f>
        <v>0</v>
      </c>
      <c r="I236" s="602">
        <f t="shared" si="84"/>
        <v>0</v>
      </c>
      <c r="J236" s="602">
        <f t="shared" si="80"/>
        <v>0</v>
      </c>
      <c r="K236" s="67"/>
      <c r="L236" s="67"/>
      <c r="M236" s="67"/>
      <c r="N236" s="67"/>
      <c r="O236" s="67"/>
      <c r="P236" s="67"/>
      <c r="Q236" s="67"/>
    </row>
    <row r="237" spans="1:17" s="52" customFormat="1" x14ac:dyDescent="0.25">
      <c r="A237" s="98"/>
      <c r="B237" s="183">
        <v>42311</v>
      </c>
      <c r="C237" s="64"/>
      <c r="D237" s="184" t="s">
        <v>452</v>
      </c>
      <c r="E237" s="50">
        <f>'Rekapitulacija Posebni dio'!C188</f>
        <v>0</v>
      </c>
      <c r="F237" s="50">
        <f>'Rekapitulacija Posebni dio'!D188</f>
        <v>6722.28</v>
      </c>
      <c r="G237" s="50">
        <f>'Rekapitulacija Posebni dio'!E188</f>
        <v>6722.28</v>
      </c>
      <c r="H237" s="50">
        <f>'Rekapitulacija Posebni dio'!F188</f>
        <v>0</v>
      </c>
      <c r="I237" s="602">
        <f t="shared" si="84"/>
        <v>0</v>
      </c>
      <c r="J237" s="602">
        <f t="shared" si="80"/>
        <v>0</v>
      </c>
      <c r="K237" s="51"/>
      <c r="L237" s="51"/>
      <c r="M237" s="51"/>
      <c r="N237" s="51"/>
      <c r="O237" s="51"/>
      <c r="P237" s="51"/>
      <c r="Q237" s="51"/>
    </row>
    <row r="238" spans="1:17" s="68" customFormat="1" x14ac:dyDescent="0.25">
      <c r="A238" s="85"/>
      <c r="B238" s="185">
        <v>426</v>
      </c>
      <c r="C238" s="60"/>
      <c r="D238" s="186" t="s">
        <v>194</v>
      </c>
      <c r="E238" s="93">
        <f>E239</f>
        <v>0</v>
      </c>
      <c r="F238" s="93">
        <f>F239</f>
        <v>0</v>
      </c>
      <c r="G238" s="93">
        <f>G239</f>
        <v>0</v>
      </c>
      <c r="H238" s="93">
        <f t="shared" ref="H238" si="88">H239</f>
        <v>0</v>
      </c>
      <c r="I238" s="602" t="e">
        <f t="shared" si="84"/>
        <v>#DIV/0!</v>
      </c>
      <c r="J238" s="602" t="e">
        <f t="shared" si="80"/>
        <v>#DIV/0!</v>
      </c>
      <c r="K238" s="67"/>
      <c r="L238" s="67"/>
      <c r="M238" s="67"/>
      <c r="N238" s="67"/>
      <c r="O238" s="67"/>
      <c r="P238" s="67"/>
      <c r="Q238" s="67"/>
    </row>
    <row r="239" spans="1:17" s="52" customFormat="1" x14ac:dyDescent="0.25">
      <c r="A239" s="98"/>
      <c r="B239" s="183">
        <v>4262</v>
      </c>
      <c r="C239" s="64"/>
      <c r="D239" s="184" t="s">
        <v>195</v>
      </c>
      <c r="E239" s="50"/>
      <c r="F239" s="50"/>
      <c r="G239" s="50"/>
      <c r="H239" s="50"/>
      <c r="I239" s="602" t="e">
        <f t="shared" si="84"/>
        <v>#DIV/0!</v>
      </c>
      <c r="J239" s="602" t="e">
        <f t="shared" si="80"/>
        <v>#DIV/0!</v>
      </c>
      <c r="K239" s="51"/>
      <c r="L239" s="51"/>
      <c r="M239" s="51"/>
      <c r="N239" s="51"/>
      <c r="O239" s="51"/>
      <c r="P239" s="51"/>
      <c r="Q239" s="51"/>
    </row>
    <row r="240" spans="1:17" s="52" customFormat="1" x14ac:dyDescent="0.25">
      <c r="A240" s="98"/>
      <c r="B240" s="22" t="s">
        <v>196</v>
      </c>
      <c r="C240" s="141"/>
      <c r="D240" s="179" t="s">
        <v>197</v>
      </c>
      <c r="E240" s="92">
        <f>E241+E244</f>
        <v>0</v>
      </c>
      <c r="F240" s="92">
        <f>F241+F244</f>
        <v>23183.82</v>
      </c>
      <c r="G240" s="92">
        <f>G241+G244</f>
        <v>23183.82</v>
      </c>
      <c r="H240" s="92">
        <f t="shared" ref="H240" si="89">H241+H244</f>
        <v>31001.25</v>
      </c>
      <c r="I240" s="606">
        <f t="shared" si="84"/>
        <v>133.71933529504631</v>
      </c>
      <c r="J240" s="606">
        <f t="shared" si="80"/>
        <v>133.71933529504631</v>
      </c>
      <c r="K240" s="51"/>
      <c r="L240" s="51"/>
      <c r="M240" s="51"/>
      <c r="N240" s="51"/>
      <c r="O240" s="51"/>
      <c r="P240" s="51"/>
      <c r="Q240" s="51"/>
    </row>
    <row r="241" spans="1:17" s="52" customFormat="1" x14ac:dyDescent="0.25">
      <c r="A241" s="98"/>
      <c r="B241" s="43" t="s">
        <v>198</v>
      </c>
      <c r="C241" s="143"/>
      <c r="D241" s="105" t="s">
        <v>199</v>
      </c>
      <c r="E241" s="93">
        <f t="shared" ref="E241:G242" si="90">SUM(E242)</f>
        <v>0</v>
      </c>
      <c r="F241" s="93">
        <f t="shared" si="90"/>
        <v>23183.82</v>
      </c>
      <c r="G241" s="93">
        <f t="shared" si="90"/>
        <v>23183.82</v>
      </c>
      <c r="H241" s="93">
        <f t="shared" ref="H241:H242" si="91">SUM(H242)</f>
        <v>31001.25</v>
      </c>
      <c r="I241" s="602">
        <f t="shared" si="84"/>
        <v>133.71933529504631</v>
      </c>
      <c r="J241" s="602">
        <f t="shared" si="80"/>
        <v>133.71933529504631</v>
      </c>
      <c r="K241" s="51"/>
      <c r="L241" s="51"/>
      <c r="M241" s="51"/>
      <c r="N241" s="51"/>
      <c r="O241" s="51"/>
      <c r="P241" s="51"/>
      <c r="Q241" s="51"/>
    </row>
    <row r="242" spans="1:17" s="52" customFormat="1" x14ac:dyDescent="0.25">
      <c r="A242" s="98"/>
      <c r="B242" s="48" t="s">
        <v>200</v>
      </c>
      <c r="C242" s="167"/>
      <c r="D242" s="167" t="s">
        <v>199</v>
      </c>
      <c r="E242" s="93">
        <f t="shared" si="90"/>
        <v>0</v>
      </c>
      <c r="F242" s="93">
        <f t="shared" si="90"/>
        <v>23183.82</v>
      </c>
      <c r="G242" s="93">
        <f t="shared" si="90"/>
        <v>23183.82</v>
      </c>
      <c r="H242" s="93">
        <f t="shared" si="91"/>
        <v>31001.25</v>
      </c>
      <c r="I242" s="602">
        <f t="shared" si="84"/>
        <v>133.71933529504631</v>
      </c>
      <c r="J242" s="602">
        <f t="shared" si="80"/>
        <v>133.71933529504631</v>
      </c>
      <c r="K242" s="51"/>
      <c r="L242" s="51"/>
      <c r="M242" s="51"/>
      <c r="N242" s="51"/>
      <c r="O242" s="51"/>
      <c r="P242" s="51"/>
      <c r="Q242" s="51"/>
    </row>
    <row r="243" spans="1:17" s="52" customFormat="1" x14ac:dyDescent="0.25">
      <c r="A243" s="98"/>
      <c r="B243" s="48" t="s">
        <v>496</v>
      </c>
      <c r="C243" s="167"/>
      <c r="D243" s="167" t="s">
        <v>199</v>
      </c>
      <c r="E243" s="50">
        <f>'Rekapitulacija Posebni dio'!C194</f>
        <v>0</v>
      </c>
      <c r="F243" s="50">
        <f>'Rekapitulacija Posebni dio'!D194</f>
        <v>23183.82</v>
      </c>
      <c r="G243" s="50">
        <f>'Rekapitulacija Posebni dio'!E194</f>
        <v>23183.82</v>
      </c>
      <c r="H243" s="50">
        <f>'Rekapitulacija Posebni dio'!F194</f>
        <v>31001.25</v>
      </c>
      <c r="I243" s="602">
        <f t="shared" si="84"/>
        <v>133.71933529504631</v>
      </c>
      <c r="J243" s="602">
        <f t="shared" si="80"/>
        <v>133.71933529504631</v>
      </c>
      <c r="K243" s="51"/>
      <c r="L243" s="51"/>
      <c r="M243" s="51"/>
      <c r="N243" s="51"/>
      <c r="O243" s="51"/>
      <c r="P243" s="51"/>
      <c r="Q243" s="51"/>
    </row>
    <row r="244" spans="1:17" s="52" customFormat="1" x14ac:dyDescent="0.25">
      <c r="A244" s="98"/>
      <c r="B244" s="149" t="s">
        <v>201</v>
      </c>
      <c r="C244" s="148"/>
      <c r="D244" s="148" t="s">
        <v>202</v>
      </c>
      <c r="E244" s="93">
        <f>E245</f>
        <v>0</v>
      </c>
      <c r="F244" s="93">
        <f>F245</f>
        <v>0</v>
      </c>
      <c r="G244" s="93">
        <f>G245</f>
        <v>0</v>
      </c>
      <c r="H244" s="93">
        <f t="shared" ref="H244" si="92">H245</f>
        <v>0</v>
      </c>
      <c r="I244" s="602" t="e">
        <f t="shared" si="84"/>
        <v>#DIV/0!</v>
      </c>
      <c r="J244" s="602" t="e">
        <f t="shared" si="80"/>
        <v>#DIV/0!</v>
      </c>
      <c r="K244" s="51"/>
      <c r="L244" s="51"/>
      <c r="M244" s="51"/>
      <c r="N244" s="51"/>
      <c r="O244" s="51"/>
      <c r="P244" s="51"/>
      <c r="Q244" s="51"/>
    </row>
    <row r="245" spans="1:17" s="52" customFormat="1" x14ac:dyDescent="0.25">
      <c r="A245" s="98"/>
      <c r="B245" s="48" t="s">
        <v>203</v>
      </c>
      <c r="C245" s="167"/>
      <c r="D245" s="167" t="s">
        <v>204</v>
      </c>
      <c r="E245" s="50"/>
      <c r="F245" s="50"/>
      <c r="G245" s="50"/>
      <c r="H245" s="50"/>
      <c r="I245" s="602" t="e">
        <f t="shared" si="84"/>
        <v>#DIV/0!</v>
      </c>
      <c r="J245" s="602" t="e">
        <f t="shared" si="80"/>
        <v>#DIV/0!</v>
      </c>
      <c r="K245" s="51"/>
      <c r="L245" s="51"/>
      <c r="M245" s="51"/>
      <c r="N245" s="51"/>
      <c r="O245" s="51"/>
      <c r="P245" s="51"/>
      <c r="Q245" s="51"/>
    </row>
    <row r="246" spans="1:17" s="12" customFormat="1" x14ac:dyDescent="0.25">
      <c r="A246" s="187"/>
      <c r="B246" s="188"/>
      <c r="C246" s="36">
        <v>43</v>
      </c>
      <c r="D246" s="37" t="s">
        <v>56</v>
      </c>
      <c r="E246" s="189">
        <f>E212+E58</f>
        <v>2423075.835</v>
      </c>
      <c r="F246" s="189">
        <f>F212+F58</f>
        <v>4009442.56</v>
      </c>
      <c r="G246" s="189">
        <f>G212+G58</f>
        <v>3895637.47</v>
      </c>
      <c r="H246" s="189">
        <f>H212+H58</f>
        <v>2351906.1749999998</v>
      </c>
      <c r="I246" s="605">
        <f t="shared" si="84"/>
        <v>58.659181165573294</v>
      </c>
      <c r="J246" s="605">
        <f t="shared" si="80"/>
        <v>60.37281941946204</v>
      </c>
      <c r="K246" s="3"/>
      <c r="L246" s="3"/>
      <c r="M246" s="3"/>
      <c r="N246" s="3"/>
      <c r="O246" s="3"/>
      <c r="P246" s="3"/>
      <c r="Q246" s="3"/>
    </row>
    <row r="247" spans="1:17" s="12" customFormat="1" x14ac:dyDescent="0.25">
      <c r="A247" s="137" t="s">
        <v>86</v>
      </c>
      <c r="B247" s="137"/>
      <c r="C247" s="138"/>
      <c r="D247" s="139" t="s">
        <v>87</v>
      </c>
      <c r="E247" s="140">
        <f>E248+E262+E316+E322+E325</f>
        <v>73952.845000000001</v>
      </c>
      <c r="F247" s="140">
        <f>F248+F262+F316+F322+F325</f>
        <v>163116.33000000002</v>
      </c>
      <c r="G247" s="140">
        <f>G248+G262+G316+G322+G325</f>
        <v>163116.33000000002</v>
      </c>
      <c r="H247" s="140">
        <f>H248+H262+H316+H322+H325</f>
        <v>70071.205000000016</v>
      </c>
      <c r="I247" s="600">
        <f t="shared" si="84"/>
        <v>42.957811152323011</v>
      </c>
      <c r="J247" s="600">
        <f t="shared" si="80"/>
        <v>42.957811152323011</v>
      </c>
      <c r="K247" s="3"/>
      <c r="L247" s="3"/>
      <c r="M247" s="3"/>
      <c r="N247" s="3"/>
      <c r="O247" s="3"/>
      <c r="P247" s="3"/>
      <c r="Q247" s="3"/>
    </row>
    <row r="248" spans="1:17" s="12" customFormat="1" x14ac:dyDescent="0.25">
      <c r="A248" s="105"/>
      <c r="B248" s="22">
        <v>31</v>
      </c>
      <c r="C248" s="141"/>
      <c r="D248" s="142" t="s">
        <v>88</v>
      </c>
      <c r="E248" s="42">
        <f>E249+E256+E259</f>
        <v>32771.040000000001</v>
      </c>
      <c r="F248" s="42">
        <f>F249+F256+F259</f>
        <v>67928.2</v>
      </c>
      <c r="G248" s="42">
        <f>G249+G256+G259</f>
        <v>67928.2</v>
      </c>
      <c r="H248" s="42">
        <f t="shared" ref="H248" si="93">H249+H256+H259</f>
        <v>32542.260000000002</v>
      </c>
      <c r="I248" s="606">
        <f t="shared" si="84"/>
        <v>47.906848702011835</v>
      </c>
      <c r="J248" s="606">
        <f t="shared" si="80"/>
        <v>47.906848702011835</v>
      </c>
      <c r="K248" s="3"/>
      <c r="L248" s="3"/>
      <c r="M248" s="3"/>
      <c r="N248" s="3"/>
      <c r="O248" s="3"/>
      <c r="P248" s="3"/>
      <c r="Q248" s="3"/>
    </row>
    <row r="249" spans="1:17" s="12" customFormat="1" x14ac:dyDescent="0.25">
      <c r="A249" s="105"/>
      <c r="B249" s="43">
        <v>311</v>
      </c>
      <c r="C249" s="143"/>
      <c r="D249" s="105" t="s">
        <v>89</v>
      </c>
      <c r="E249" s="46">
        <f>E250+E254</f>
        <v>28785.37</v>
      </c>
      <c r="F249" s="46">
        <f>F250+F254</f>
        <v>56139.76</v>
      </c>
      <c r="G249" s="46">
        <f>G250+G254</f>
        <v>56139.76</v>
      </c>
      <c r="H249" s="46">
        <f t="shared" ref="H249" si="94">H250+H254</f>
        <v>28629.88</v>
      </c>
      <c r="I249" s="602">
        <f t="shared" si="84"/>
        <v>50.997510498798007</v>
      </c>
      <c r="J249" s="602">
        <f t="shared" si="80"/>
        <v>50.997510498798007</v>
      </c>
      <c r="K249" s="3"/>
      <c r="L249" s="3"/>
      <c r="M249" s="3"/>
      <c r="N249" s="3"/>
      <c r="O249" s="3"/>
      <c r="P249" s="3"/>
      <c r="Q249" s="3"/>
    </row>
    <row r="250" spans="1:17" s="12" customFormat="1" x14ac:dyDescent="0.25">
      <c r="A250" s="105"/>
      <c r="B250" s="149">
        <v>3111</v>
      </c>
      <c r="C250" s="148"/>
      <c r="D250" s="148" t="s">
        <v>90</v>
      </c>
      <c r="E250" s="93">
        <f>SUM(E251)</f>
        <v>28785.37</v>
      </c>
      <c r="F250" s="93">
        <f>SUM(F251)</f>
        <v>56139.76</v>
      </c>
      <c r="G250" s="93">
        <f>SUM(G251)</f>
        <v>56139.76</v>
      </c>
      <c r="H250" s="93">
        <f t="shared" ref="H250" si="95">SUM(H251)</f>
        <v>28629.88</v>
      </c>
      <c r="I250" s="602">
        <f t="shared" si="84"/>
        <v>50.997510498798007</v>
      </c>
      <c r="J250" s="602">
        <f t="shared" si="80"/>
        <v>50.997510498798007</v>
      </c>
      <c r="K250" s="3"/>
      <c r="L250" s="3"/>
      <c r="M250" s="3"/>
      <c r="N250" s="3"/>
      <c r="O250" s="3"/>
      <c r="P250" s="3"/>
      <c r="Q250" s="3"/>
    </row>
    <row r="251" spans="1:17" s="12" customFormat="1" x14ac:dyDescent="0.25">
      <c r="A251" s="143"/>
      <c r="B251" s="144" t="s">
        <v>466</v>
      </c>
      <c r="C251" s="143"/>
      <c r="D251" s="143" t="s">
        <v>90</v>
      </c>
      <c r="E251" s="145">
        <f>'Rekapitulacija Posebni dio'!C202</f>
        <v>28785.37</v>
      </c>
      <c r="F251" s="145">
        <f>'Rekapitulacija Posebni dio'!D202</f>
        <v>56139.76</v>
      </c>
      <c r="G251" s="145">
        <f>'Rekapitulacija Posebni dio'!E202</f>
        <v>56139.76</v>
      </c>
      <c r="H251" s="145">
        <f>'Rekapitulacija Posebni dio'!F202</f>
        <v>28629.88</v>
      </c>
      <c r="I251" s="602">
        <f t="shared" si="84"/>
        <v>50.997510498798007</v>
      </c>
      <c r="J251" s="602">
        <f t="shared" si="80"/>
        <v>50.997510498798007</v>
      </c>
      <c r="K251" s="3"/>
      <c r="L251" s="3"/>
      <c r="M251" s="3"/>
      <c r="N251" s="3"/>
      <c r="O251" s="3"/>
      <c r="P251" s="3"/>
      <c r="Q251" s="3"/>
    </row>
    <row r="252" spans="1:17" s="20" customFormat="1" x14ac:dyDescent="0.25">
      <c r="A252" s="143"/>
      <c r="B252" s="149" t="s">
        <v>91</v>
      </c>
      <c r="C252" s="148"/>
      <c r="D252" s="148" t="s">
        <v>92</v>
      </c>
      <c r="E252" s="93"/>
      <c r="F252" s="93"/>
      <c r="G252" s="93"/>
      <c r="H252" s="93"/>
      <c r="I252" s="602" t="e">
        <f t="shared" si="84"/>
        <v>#DIV/0!</v>
      </c>
      <c r="J252" s="602" t="e">
        <f t="shared" si="80"/>
        <v>#DIV/0!</v>
      </c>
      <c r="K252" s="19"/>
      <c r="L252" s="19"/>
      <c r="M252" s="19"/>
      <c r="N252" s="19"/>
      <c r="O252" s="19"/>
      <c r="P252" s="19"/>
      <c r="Q252" s="19"/>
    </row>
    <row r="253" spans="1:17" s="20" customFormat="1" x14ac:dyDescent="0.25">
      <c r="A253" s="143"/>
      <c r="B253" s="149" t="s">
        <v>93</v>
      </c>
      <c r="C253" s="148"/>
      <c r="D253" s="148" t="s">
        <v>94</v>
      </c>
      <c r="E253" s="93"/>
      <c r="F253" s="93"/>
      <c r="G253" s="93"/>
      <c r="H253" s="93"/>
      <c r="I253" s="602" t="e">
        <f t="shared" si="84"/>
        <v>#DIV/0!</v>
      </c>
      <c r="J253" s="602" t="e">
        <f t="shared" si="80"/>
        <v>#DIV/0!</v>
      </c>
      <c r="K253" s="19"/>
      <c r="L253" s="19"/>
      <c r="M253" s="19"/>
      <c r="N253" s="19"/>
      <c r="O253" s="19"/>
      <c r="P253" s="19"/>
      <c r="Q253" s="19"/>
    </row>
    <row r="254" spans="1:17" s="20" customFormat="1" x14ac:dyDescent="0.25">
      <c r="A254" s="143"/>
      <c r="B254" s="149" t="s">
        <v>95</v>
      </c>
      <c r="C254" s="148"/>
      <c r="D254" s="148" t="s">
        <v>96</v>
      </c>
      <c r="E254" s="93">
        <f>SUM(E255)</f>
        <v>0</v>
      </c>
      <c r="F254" s="93">
        <f>SUM(F255)</f>
        <v>0</v>
      </c>
      <c r="G254" s="93">
        <f>SUM(G255)</f>
        <v>0</v>
      </c>
      <c r="H254" s="93">
        <f>SUM(H255)</f>
        <v>0</v>
      </c>
      <c r="I254" s="602" t="e">
        <f t="shared" si="84"/>
        <v>#DIV/0!</v>
      </c>
      <c r="J254" s="602" t="e">
        <f t="shared" si="80"/>
        <v>#DIV/0!</v>
      </c>
      <c r="K254" s="19"/>
      <c r="L254" s="19"/>
      <c r="M254" s="19"/>
      <c r="N254" s="19"/>
      <c r="O254" s="19"/>
      <c r="P254" s="19"/>
      <c r="Q254" s="19"/>
    </row>
    <row r="255" spans="1:17" s="12" customFormat="1" ht="15.75" customHeight="1" x14ac:dyDescent="0.25">
      <c r="A255" s="143"/>
      <c r="B255" s="144" t="s">
        <v>469</v>
      </c>
      <c r="C255" s="143"/>
      <c r="D255" s="143" t="s">
        <v>96</v>
      </c>
      <c r="E255" s="145">
        <f>'Rekapitulacija Posebni dio'!C206</f>
        <v>0</v>
      </c>
      <c r="F255" s="145">
        <f>'Rekapitulacija Posebni dio'!D206</f>
        <v>0</v>
      </c>
      <c r="G255" s="145">
        <f>'Rekapitulacija Posebni dio'!E206</f>
        <v>0</v>
      </c>
      <c r="H255" s="145">
        <f>'Rekapitulacija Posebni dio'!F206</f>
        <v>0</v>
      </c>
      <c r="I255" s="602" t="e">
        <f t="shared" si="84"/>
        <v>#DIV/0!</v>
      </c>
      <c r="J255" s="602" t="e">
        <f t="shared" si="80"/>
        <v>#DIV/0!</v>
      </c>
      <c r="K255" s="3"/>
      <c r="L255" s="3"/>
      <c r="M255" s="3"/>
      <c r="N255" s="3"/>
      <c r="O255" s="3"/>
      <c r="P255" s="3"/>
      <c r="Q255" s="3"/>
    </row>
    <row r="256" spans="1:17" s="12" customFormat="1" ht="15.75" customHeight="1" x14ac:dyDescent="0.25">
      <c r="A256" s="148"/>
      <c r="B256" s="149" t="s">
        <v>97</v>
      </c>
      <c r="C256" s="148"/>
      <c r="D256" s="148" t="s">
        <v>98</v>
      </c>
      <c r="E256" s="93">
        <f t="shared" ref="E256:G257" si="96">SUM(E257)</f>
        <v>0</v>
      </c>
      <c r="F256" s="93">
        <f t="shared" si="96"/>
        <v>3981.68</v>
      </c>
      <c r="G256" s="93">
        <f t="shared" si="96"/>
        <v>3981.68</v>
      </c>
      <c r="H256" s="93">
        <f t="shared" ref="H256" si="97">SUM(H258)</f>
        <v>0</v>
      </c>
      <c r="I256" s="602">
        <f t="shared" si="84"/>
        <v>0</v>
      </c>
      <c r="J256" s="602">
        <f t="shared" si="80"/>
        <v>0</v>
      </c>
      <c r="K256" s="3"/>
      <c r="L256" s="3"/>
      <c r="M256" s="3"/>
      <c r="N256" s="3"/>
      <c r="O256" s="3"/>
      <c r="P256" s="3"/>
      <c r="Q256" s="3"/>
    </row>
    <row r="257" spans="1:17" s="12" customFormat="1" ht="15.75" customHeight="1" x14ac:dyDescent="0.25">
      <c r="A257" s="148"/>
      <c r="B257" s="149" t="s">
        <v>99</v>
      </c>
      <c r="C257" s="148"/>
      <c r="D257" s="148" t="s">
        <v>98</v>
      </c>
      <c r="E257" s="93">
        <f t="shared" si="96"/>
        <v>0</v>
      </c>
      <c r="F257" s="93">
        <f t="shared" si="96"/>
        <v>3981.68</v>
      </c>
      <c r="G257" s="93">
        <f t="shared" si="96"/>
        <v>3981.68</v>
      </c>
      <c r="H257" s="93">
        <f t="shared" ref="H257" si="98">SUM(H258)</f>
        <v>0</v>
      </c>
      <c r="I257" s="602">
        <f t="shared" si="84"/>
        <v>0</v>
      </c>
      <c r="J257" s="602">
        <f t="shared" si="80"/>
        <v>0</v>
      </c>
      <c r="K257" s="3"/>
      <c r="L257" s="3"/>
      <c r="M257" s="3"/>
      <c r="N257" s="3"/>
      <c r="O257" s="3"/>
      <c r="P257" s="3"/>
      <c r="Q257" s="3"/>
    </row>
    <row r="258" spans="1:17" s="12" customFormat="1" ht="15.75" customHeight="1" x14ac:dyDescent="0.25">
      <c r="A258" s="143"/>
      <c r="B258" s="144" t="s">
        <v>475</v>
      </c>
      <c r="C258" s="143"/>
      <c r="D258" s="143" t="s">
        <v>382</v>
      </c>
      <c r="E258" s="145">
        <f>'Rekapitulacija Posebni dio'!C209</f>
        <v>0</v>
      </c>
      <c r="F258" s="145">
        <f>'Rekapitulacija Posebni dio'!D209</f>
        <v>3981.68</v>
      </c>
      <c r="G258" s="145">
        <f>'Rekapitulacija Posebni dio'!E209</f>
        <v>3981.68</v>
      </c>
      <c r="H258" s="145">
        <f>'Rekapitulacija Posebni dio'!F209</f>
        <v>0</v>
      </c>
      <c r="I258" s="602">
        <f t="shared" si="84"/>
        <v>0</v>
      </c>
      <c r="J258" s="602">
        <f t="shared" si="80"/>
        <v>0</v>
      </c>
      <c r="K258" s="3"/>
      <c r="L258" s="3"/>
      <c r="M258" s="3"/>
      <c r="N258" s="3"/>
      <c r="O258" s="3"/>
      <c r="P258" s="3"/>
      <c r="Q258" s="3"/>
    </row>
    <row r="259" spans="1:17" s="20" customFormat="1" ht="15.75" customHeight="1" x14ac:dyDescent="0.25">
      <c r="A259" s="105"/>
      <c r="B259" s="53">
        <v>313</v>
      </c>
      <c r="C259" s="105"/>
      <c r="D259" s="105" t="s">
        <v>100</v>
      </c>
      <c r="E259" s="152">
        <f t="shared" ref="E259:G260" si="99">SUM(E260)</f>
        <v>3985.67</v>
      </c>
      <c r="F259" s="152">
        <f t="shared" si="99"/>
        <v>7806.76</v>
      </c>
      <c r="G259" s="152">
        <f t="shared" si="99"/>
        <v>7806.76</v>
      </c>
      <c r="H259" s="152">
        <f t="shared" ref="H259:H260" si="100">SUM(H260)</f>
        <v>3912.38</v>
      </c>
      <c r="I259" s="602">
        <f t="shared" si="84"/>
        <v>50.115284701976236</v>
      </c>
      <c r="J259" s="602">
        <f t="shared" si="80"/>
        <v>50.115284701976236</v>
      </c>
      <c r="K259" s="19"/>
      <c r="L259" s="19"/>
      <c r="M259" s="19"/>
      <c r="N259" s="19"/>
      <c r="O259" s="19"/>
      <c r="P259" s="19"/>
      <c r="Q259" s="19"/>
    </row>
    <row r="260" spans="1:17" s="20" customFormat="1" ht="15.75" customHeight="1" x14ac:dyDescent="0.25">
      <c r="A260" s="105"/>
      <c r="B260" s="60">
        <v>3132</v>
      </c>
      <c r="C260" s="148"/>
      <c r="D260" s="148" t="s">
        <v>101</v>
      </c>
      <c r="E260" s="217">
        <f t="shared" si="99"/>
        <v>3985.67</v>
      </c>
      <c r="F260" s="217">
        <f t="shared" si="99"/>
        <v>7806.76</v>
      </c>
      <c r="G260" s="217">
        <f t="shared" si="99"/>
        <v>7806.76</v>
      </c>
      <c r="H260" s="217">
        <f t="shared" si="100"/>
        <v>3912.38</v>
      </c>
      <c r="I260" s="602">
        <f t="shared" si="84"/>
        <v>50.115284701976236</v>
      </c>
      <c r="J260" s="602">
        <f t="shared" si="80"/>
        <v>50.115284701976236</v>
      </c>
      <c r="K260" s="19"/>
      <c r="L260" s="19"/>
      <c r="M260" s="19"/>
      <c r="N260" s="19"/>
      <c r="O260" s="19"/>
      <c r="P260" s="19"/>
      <c r="Q260" s="19"/>
    </row>
    <row r="261" spans="1:17" s="20" customFormat="1" ht="15.75" customHeight="1" x14ac:dyDescent="0.25">
      <c r="A261" s="143"/>
      <c r="B261" s="57" t="s">
        <v>476</v>
      </c>
      <c r="C261" s="143"/>
      <c r="D261" s="143" t="s">
        <v>101</v>
      </c>
      <c r="E261" s="153">
        <f>'Rekapitulacija Posebni dio'!C212</f>
        <v>3985.67</v>
      </c>
      <c r="F261" s="153">
        <f>'Rekapitulacija Posebni dio'!D212</f>
        <v>7806.76</v>
      </c>
      <c r="G261" s="153">
        <f>'Rekapitulacija Posebni dio'!E212</f>
        <v>7806.76</v>
      </c>
      <c r="H261" s="153">
        <f>'Rekapitulacija Posebni dio'!F212</f>
        <v>3912.38</v>
      </c>
      <c r="I261" s="602">
        <f t="shared" si="84"/>
        <v>50.115284701976236</v>
      </c>
      <c r="J261" s="602">
        <f t="shared" si="80"/>
        <v>50.115284701976236</v>
      </c>
      <c r="K261" s="19"/>
      <c r="L261" s="19"/>
      <c r="M261" s="19"/>
      <c r="N261" s="19"/>
      <c r="O261" s="19"/>
      <c r="P261" s="19"/>
      <c r="Q261" s="19"/>
    </row>
    <row r="262" spans="1:17" s="20" customFormat="1" x14ac:dyDescent="0.25">
      <c r="A262" s="105"/>
      <c r="B262" s="22">
        <v>32</v>
      </c>
      <c r="C262" s="141"/>
      <c r="D262" s="142" t="s">
        <v>102</v>
      </c>
      <c r="E262" s="42">
        <f>E263+E271+E286+E302+E306</f>
        <v>41181.805000000008</v>
      </c>
      <c r="F262" s="42">
        <f>F263+F271+F286+F302+F306</f>
        <v>95188.13</v>
      </c>
      <c r="G262" s="42">
        <f t="shared" ref="G262:H262" si="101">G263+G271+G286+G302+G306</f>
        <v>95188.130000000019</v>
      </c>
      <c r="H262" s="42">
        <f t="shared" si="101"/>
        <v>37528.945000000007</v>
      </c>
      <c r="I262" s="606">
        <f t="shared" si="84"/>
        <v>39.42607654967064</v>
      </c>
      <c r="J262" s="606">
        <f t="shared" si="80"/>
        <v>39.426076549670633</v>
      </c>
      <c r="K262" s="19"/>
      <c r="L262" s="19"/>
      <c r="M262" s="19"/>
      <c r="N262" s="19"/>
      <c r="O262" s="19"/>
      <c r="P262" s="19"/>
      <c r="Q262" s="19"/>
    </row>
    <row r="263" spans="1:17" s="20" customFormat="1" ht="15.75" customHeight="1" x14ac:dyDescent="0.25">
      <c r="A263" s="105"/>
      <c r="B263" s="43">
        <v>321</v>
      </c>
      <c r="C263" s="105"/>
      <c r="D263" s="105" t="s">
        <v>103</v>
      </c>
      <c r="E263" s="46">
        <f>E264+E266+E268+E270</f>
        <v>7299.7500000000009</v>
      </c>
      <c r="F263" s="46">
        <f>F264+F266+F268+F270</f>
        <v>14599.500000000002</v>
      </c>
      <c r="G263" s="46">
        <f>G264+G266+G268+G270</f>
        <v>14599.500000000002</v>
      </c>
      <c r="H263" s="46">
        <f t="shared" ref="H263" si="102">H264+H266+H268+H270</f>
        <v>7299.6800000000012</v>
      </c>
      <c r="I263" s="602">
        <f t="shared" si="84"/>
        <v>49.999520531525057</v>
      </c>
      <c r="J263" s="602">
        <f t="shared" si="80"/>
        <v>49.999520531525057</v>
      </c>
      <c r="K263" s="19"/>
      <c r="L263" s="19"/>
      <c r="M263" s="19"/>
      <c r="N263" s="19"/>
      <c r="O263" s="19"/>
      <c r="P263" s="19"/>
      <c r="Q263" s="19"/>
    </row>
    <row r="264" spans="1:17" s="20" customFormat="1" ht="15.75" customHeight="1" x14ac:dyDescent="0.25">
      <c r="A264" s="105"/>
      <c r="B264" s="149" t="s">
        <v>104</v>
      </c>
      <c r="C264" s="148"/>
      <c r="D264" s="148" t="s">
        <v>105</v>
      </c>
      <c r="E264" s="93">
        <f>SUM(E265)</f>
        <v>331.80500000000001</v>
      </c>
      <c r="F264" s="93">
        <f>SUM(F265)</f>
        <v>663.61</v>
      </c>
      <c r="G264" s="93">
        <f>SUM(G265)</f>
        <v>663.61</v>
      </c>
      <c r="H264" s="93">
        <f t="shared" ref="H264" si="103">SUM(H265)</f>
        <v>331.81</v>
      </c>
      <c r="I264" s="602">
        <f t="shared" si="84"/>
        <v>50.000753454589287</v>
      </c>
      <c r="J264" s="602">
        <f t="shared" si="80"/>
        <v>50.000753454589287</v>
      </c>
      <c r="K264" s="19"/>
      <c r="L264" s="19"/>
      <c r="M264" s="19"/>
      <c r="N264" s="19"/>
      <c r="O264" s="19"/>
      <c r="P264" s="19"/>
      <c r="Q264" s="19"/>
    </row>
    <row r="265" spans="1:17" s="20" customFormat="1" ht="15.75" customHeight="1" x14ac:dyDescent="0.25">
      <c r="A265" s="143"/>
      <c r="B265" s="144" t="s">
        <v>497</v>
      </c>
      <c r="C265" s="143"/>
      <c r="D265" s="143" t="s">
        <v>391</v>
      </c>
      <c r="E265" s="145">
        <f>'Rekapitulacija Posebni dio'!C216</f>
        <v>331.80500000000001</v>
      </c>
      <c r="F265" s="145">
        <f>'Rekapitulacija Posebni dio'!D216</f>
        <v>663.61</v>
      </c>
      <c r="G265" s="145">
        <f>'Rekapitulacija Posebni dio'!E216</f>
        <v>663.61</v>
      </c>
      <c r="H265" s="145">
        <f>'Rekapitulacija Posebni dio'!F216</f>
        <v>331.81</v>
      </c>
      <c r="I265" s="602">
        <f t="shared" si="84"/>
        <v>50.000753454589287</v>
      </c>
      <c r="J265" s="602">
        <f t="shared" si="80"/>
        <v>50.000753454589287</v>
      </c>
      <c r="K265" s="19"/>
      <c r="L265" s="19"/>
      <c r="M265" s="19"/>
      <c r="N265" s="19"/>
      <c r="O265" s="19"/>
      <c r="P265" s="19"/>
      <c r="Q265" s="19"/>
    </row>
    <row r="266" spans="1:17" s="20" customFormat="1" ht="15.75" customHeight="1" x14ac:dyDescent="0.25">
      <c r="A266" s="143"/>
      <c r="B266" s="149" t="s">
        <v>106</v>
      </c>
      <c r="C266" s="148"/>
      <c r="D266" s="158" t="s">
        <v>107</v>
      </c>
      <c r="E266" s="93">
        <f>SUM(E267)</f>
        <v>6636.14</v>
      </c>
      <c r="F266" s="93">
        <f>SUM(F267)</f>
        <v>13272.28</v>
      </c>
      <c r="G266" s="93">
        <f>SUM(G267)</f>
        <v>13272.28</v>
      </c>
      <c r="H266" s="93">
        <f t="shared" ref="H266" si="104">SUM(H267)</f>
        <v>6636.06</v>
      </c>
      <c r="I266" s="602">
        <f t="shared" si="84"/>
        <v>49.999397239961787</v>
      </c>
      <c r="J266" s="602">
        <f t="shared" si="80"/>
        <v>49.999397239961787</v>
      </c>
      <c r="K266" s="19"/>
      <c r="L266" s="19"/>
      <c r="M266" s="19"/>
      <c r="N266" s="19"/>
      <c r="O266" s="19"/>
      <c r="P266" s="19"/>
      <c r="Q266" s="19"/>
    </row>
    <row r="267" spans="1:17" s="20" customFormat="1" ht="15.75" customHeight="1" x14ac:dyDescent="0.25">
      <c r="A267" s="143"/>
      <c r="B267" s="144" t="s">
        <v>477</v>
      </c>
      <c r="C267" s="143"/>
      <c r="D267" s="156" t="s">
        <v>283</v>
      </c>
      <c r="E267" s="145">
        <f>'Rekapitulacija Posebni dio'!C218</f>
        <v>6636.14</v>
      </c>
      <c r="F267" s="145">
        <f>'Rekapitulacija Posebni dio'!D218</f>
        <v>13272.28</v>
      </c>
      <c r="G267" s="145">
        <f>'Rekapitulacija Posebni dio'!E218</f>
        <v>13272.28</v>
      </c>
      <c r="H267" s="145">
        <f>'Rekapitulacija Posebni dio'!F218</f>
        <v>6636.06</v>
      </c>
      <c r="I267" s="602">
        <f t="shared" si="84"/>
        <v>49.999397239961787</v>
      </c>
      <c r="J267" s="602">
        <f t="shared" si="80"/>
        <v>49.999397239961787</v>
      </c>
      <c r="K267" s="19"/>
      <c r="L267" s="19"/>
      <c r="M267" s="19"/>
      <c r="N267" s="19"/>
      <c r="O267" s="19"/>
      <c r="P267" s="19"/>
      <c r="Q267" s="19"/>
    </row>
    <row r="268" spans="1:17" s="20" customFormat="1" ht="15.75" customHeight="1" x14ac:dyDescent="0.25">
      <c r="A268" s="143"/>
      <c r="B268" s="149" t="s">
        <v>108</v>
      </c>
      <c r="C268" s="148"/>
      <c r="D268" s="158" t="s">
        <v>109</v>
      </c>
      <c r="E268" s="93">
        <f>SUM(E269)</f>
        <v>331.80500000000001</v>
      </c>
      <c r="F268" s="93">
        <f>SUM(F269)</f>
        <v>663.61</v>
      </c>
      <c r="G268" s="93">
        <f>SUM(G269)</f>
        <v>663.61</v>
      </c>
      <c r="H268" s="93">
        <f t="shared" ref="H268" si="105">SUM(H269)</f>
        <v>331.81</v>
      </c>
      <c r="I268" s="602">
        <f t="shared" si="84"/>
        <v>50.000753454589287</v>
      </c>
      <c r="J268" s="602">
        <f t="shared" si="80"/>
        <v>50.000753454589287</v>
      </c>
      <c r="K268" s="19"/>
      <c r="L268" s="19"/>
      <c r="M268" s="19"/>
      <c r="N268" s="19"/>
      <c r="O268" s="19"/>
      <c r="P268" s="19"/>
      <c r="Q268" s="19"/>
    </row>
    <row r="269" spans="1:17" s="20" customFormat="1" ht="15.75" customHeight="1" x14ac:dyDescent="0.25">
      <c r="A269" s="143"/>
      <c r="B269" s="144" t="s">
        <v>498</v>
      </c>
      <c r="C269" s="143"/>
      <c r="D269" s="156" t="s">
        <v>393</v>
      </c>
      <c r="E269" s="145">
        <f>'Rekapitulacija Posebni dio'!C220</f>
        <v>331.80500000000001</v>
      </c>
      <c r="F269" s="145">
        <f>'Rekapitulacija Posebni dio'!D220</f>
        <v>663.61</v>
      </c>
      <c r="G269" s="145">
        <f>'Rekapitulacija Posebni dio'!E220</f>
        <v>663.61</v>
      </c>
      <c r="H269" s="145">
        <f>'Rekapitulacija Posebni dio'!F220</f>
        <v>331.81</v>
      </c>
      <c r="I269" s="602">
        <f t="shared" si="84"/>
        <v>50.000753454589287</v>
      </c>
      <c r="J269" s="602">
        <f t="shared" si="80"/>
        <v>50.000753454589287</v>
      </c>
      <c r="K269" s="19"/>
      <c r="L269" s="19"/>
      <c r="M269" s="19"/>
      <c r="N269" s="19"/>
      <c r="O269" s="19"/>
      <c r="P269" s="19"/>
      <c r="Q269" s="19"/>
    </row>
    <row r="270" spans="1:17" s="20" customFormat="1" ht="15.75" customHeight="1" x14ac:dyDescent="0.25">
      <c r="A270" s="143"/>
      <c r="B270" s="149" t="s">
        <v>110</v>
      </c>
      <c r="C270" s="148"/>
      <c r="D270" s="158" t="s">
        <v>111</v>
      </c>
      <c r="E270" s="93"/>
      <c r="F270" s="93"/>
      <c r="G270" s="93"/>
      <c r="H270" s="93"/>
      <c r="I270" s="602" t="e">
        <f t="shared" si="84"/>
        <v>#DIV/0!</v>
      </c>
      <c r="J270" s="602" t="e">
        <f t="shared" si="80"/>
        <v>#DIV/0!</v>
      </c>
      <c r="K270" s="19"/>
      <c r="L270" s="19"/>
      <c r="M270" s="19"/>
      <c r="N270" s="19"/>
      <c r="O270" s="19"/>
      <c r="P270" s="19"/>
      <c r="Q270" s="19"/>
    </row>
    <row r="271" spans="1:17" s="20" customFormat="1" ht="15.75" customHeight="1" x14ac:dyDescent="0.25">
      <c r="A271" s="148"/>
      <c r="B271" s="149" t="s">
        <v>112</v>
      </c>
      <c r="C271" s="148"/>
      <c r="D271" s="158" t="s">
        <v>113</v>
      </c>
      <c r="E271" s="93">
        <f>E272+E274+E277+E280+E282+E284</f>
        <v>27245.91</v>
      </c>
      <c r="F271" s="93">
        <f>F272+F274+F277+F280+F282+F284</f>
        <v>49398.76</v>
      </c>
      <c r="G271" s="93">
        <f>G272+G274+G277+G280+G282+G284</f>
        <v>19444.55</v>
      </c>
      <c r="H271" s="93">
        <f t="shared" ref="H271" si="106">H272+H274+H277+H280+H282+H284</f>
        <v>9652.2800000000007</v>
      </c>
      <c r="I271" s="602">
        <f t="shared" si="84"/>
        <v>19.539518805735206</v>
      </c>
      <c r="J271" s="602">
        <f t="shared" si="80"/>
        <v>49.640027668421233</v>
      </c>
      <c r="K271" s="19"/>
      <c r="L271" s="19"/>
      <c r="M271" s="19"/>
      <c r="N271" s="19"/>
      <c r="O271" s="19"/>
      <c r="P271" s="19"/>
      <c r="Q271" s="19"/>
    </row>
    <row r="272" spans="1:17" s="20" customFormat="1" ht="15.75" customHeight="1" x14ac:dyDescent="0.25">
      <c r="A272" s="148"/>
      <c r="B272" s="149" t="s">
        <v>114</v>
      </c>
      <c r="C272" s="148"/>
      <c r="D272" s="148" t="s">
        <v>115</v>
      </c>
      <c r="E272" s="93">
        <f>SUM(E273)</f>
        <v>407.94</v>
      </c>
      <c r="F272" s="93">
        <f>SUM(F273)</f>
        <v>639.19000000000005</v>
      </c>
      <c r="G272" s="93">
        <f>SUM(G273)</f>
        <v>639.19000000000005</v>
      </c>
      <c r="H272" s="93">
        <f t="shared" ref="H272" si="107">SUM(H273)</f>
        <v>319.60000000000002</v>
      </c>
      <c r="I272" s="602">
        <f t="shared" si="84"/>
        <v>50.000782240022524</v>
      </c>
      <c r="J272" s="602">
        <f t="shared" si="80"/>
        <v>50.000782240022524</v>
      </c>
      <c r="K272" s="19"/>
      <c r="L272" s="19"/>
      <c r="M272" s="19"/>
      <c r="N272" s="19"/>
      <c r="O272" s="19"/>
      <c r="P272" s="19"/>
      <c r="Q272" s="19"/>
    </row>
    <row r="273" spans="1:17" s="20" customFormat="1" ht="15.75" customHeight="1" x14ac:dyDescent="0.25">
      <c r="A273" s="148"/>
      <c r="B273" s="48" t="s">
        <v>499</v>
      </c>
      <c r="C273" s="148"/>
      <c r="D273" s="143" t="s">
        <v>395</v>
      </c>
      <c r="E273" s="145">
        <f>'Rekapitulacija Posebni dio'!C224+'Rekapitulacija Posebni dio'!C583</f>
        <v>407.94</v>
      </c>
      <c r="F273" s="145">
        <f>'Rekapitulacija Posebni dio'!D224+'Rekapitulacija Posebni dio'!D583</f>
        <v>639.19000000000005</v>
      </c>
      <c r="G273" s="145">
        <f>'Rekapitulacija Posebni dio'!E224+'Rekapitulacija Posebni dio'!E583</f>
        <v>639.19000000000005</v>
      </c>
      <c r="H273" s="145">
        <f>'Rekapitulacija Posebni dio'!F224+'Rekapitulacija Posebni dio'!F583</f>
        <v>319.60000000000002</v>
      </c>
      <c r="I273" s="602">
        <f t="shared" si="84"/>
        <v>50.000782240022524</v>
      </c>
      <c r="J273" s="602">
        <f t="shared" si="80"/>
        <v>50.000782240022524</v>
      </c>
      <c r="K273" s="19"/>
      <c r="L273" s="19"/>
      <c r="M273" s="19"/>
      <c r="N273" s="19"/>
      <c r="O273" s="19"/>
      <c r="P273" s="19"/>
      <c r="Q273" s="19"/>
    </row>
    <row r="274" spans="1:17" s="20" customFormat="1" ht="15.75" customHeight="1" x14ac:dyDescent="0.25">
      <c r="A274" s="148"/>
      <c r="B274" s="149" t="s">
        <v>116</v>
      </c>
      <c r="C274" s="148"/>
      <c r="D274" s="148" t="s">
        <v>117</v>
      </c>
      <c r="E274" s="93">
        <f>SUM(E275:E276)</f>
        <v>7392.9299999999994</v>
      </c>
      <c r="F274" s="93">
        <f>SUM(F275:F276)</f>
        <v>9954.2099999999991</v>
      </c>
      <c r="G274" s="93">
        <f>SUM(G275:G276)</f>
        <v>0</v>
      </c>
      <c r="H274" s="93">
        <f t="shared" ref="H274" si="108">SUM(H275:H276)</f>
        <v>0</v>
      </c>
      <c r="I274" s="602">
        <f t="shared" si="84"/>
        <v>0</v>
      </c>
      <c r="J274" s="602" t="e">
        <f t="shared" si="80"/>
        <v>#DIV/0!</v>
      </c>
      <c r="K274" s="19"/>
      <c r="L274" s="19"/>
      <c r="M274" s="19"/>
      <c r="N274" s="19"/>
      <c r="O274" s="19"/>
      <c r="P274" s="19"/>
      <c r="Q274" s="19"/>
    </row>
    <row r="275" spans="1:17" s="20" customFormat="1" ht="15.75" customHeight="1" x14ac:dyDescent="0.25">
      <c r="A275" s="148"/>
      <c r="B275" s="48" t="s">
        <v>479</v>
      </c>
      <c r="C275" s="148"/>
      <c r="D275" s="143" t="s">
        <v>400</v>
      </c>
      <c r="E275" s="50">
        <f>'Rekapitulacija Posebni dio'!C226</f>
        <v>5739.15</v>
      </c>
      <c r="F275" s="50">
        <f>'Rekapitulacija Posebni dio'!D226</f>
        <v>7000</v>
      </c>
      <c r="G275" s="50">
        <f>'Rekapitulacija Posebni dio'!E226</f>
        <v>0</v>
      </c>
      <c r="H275" s="50">
        <f>'Rekapitulacija Posebni dio'!F226</f>
        <v>0</v>
      </c>
      <c r="I275" s="602">
        <f t="shared" si="84"/>
        <v>0</v>
      </c>
      <c r="J275" s="602" t="e">
        <f t="shared" si="80"/>
        <v>#DIV/0!</v>
      </c>
      <c r="K275" s="19"/>
      <c r="L275" s="19"/>
      <c r="M275" s="19"/>
      <c r="N275" s="19"/>
      <c r="O275" s="19"/>
      <c r="P275" s="19"/>
      <c r="Q275" s="19"/>
    </row>
    <row r="276" spans="1:17" s="12" customFormat="1" ht="15.75" customHeight="1" x14ac:dyDescent="0.25">
      <c r="A276" s="148"/>
      <c r="B276" s="48" t="s">
        <v>480</v>
      </c>
      <c r="C276" s="148"/>
      <c r="D276" s="143" t="s">
        <v>401</v>
      </c>
      <c r="E276" s="50">
        <f>'Rekapitulacija Posebni dio'!C227+'Rekapitulacija Posebni dio'!C585</f>
        <v>1653.78</v>
      </c>
      <c r="F276" s="50">
        <f>'Rekapitulacija Posebni dio'!D227+'Rekapitulacija Posebni dio'!D585</f>
        <v>2954.2099999999991</v>
      </c>
      <c r="G276" s="50">
        <f>'Rekapitulacija Posebni dio'!E227+'Rekapitulacija Posebni dio'!E585</f>
        <v>0</v>
      </c>
      <c r="H276" s="50">
        <f>'Rekapitulacija Posebni dio'!F227+'Rekapitulacija Posebni dio'!F585</f>
        <v>0</v>
      </c>
      <c r="I276" s="602">
        <f t="shared" si="84"/>
        <v>0</v>
      </c>
      <c r="J276" s="602" t="e">
        <f t="shared" si="80"/>
        <v>#DIV/0!</v>
      </c>
      <c r="K276" s="3"/>
      <c r="L276" s="3"/>
      <c r="M276" s="3"/>
      <c r="N276" s="3"/>
      <c r="O276" s="3"/>
      <c r="P276" s="3"/>
      <c r="Q276" s="3"/>
    </row>
    <row r="277" spans="1:17" s="12" customFormat="1" ht="15.75" customHeight="1" x14ac:dyDescent="0.25">
      <c r="A277" s="148"/>
      <c r="B277" s="149" t="s">
        <v>118</v>
      </c>
      <c r="C277" s="148"/>
      <c r="D277" s="148" t="s">
        <v>119</v>
      </c>
      <c r="E277" s="93">
        <f>SUM(E278:E279)</f>
        <v>19445.04</v>
      </c>
      <c r="F277" s="93">
        <f>SUM(F278:F279)</f>
        <v>38805.360000000001</v>
      </c>
      <c r="G277" s="93">
        <f>SUM(G278:G279)</f>
        <v>18805.36</v>
      </c>
      <c r="H277" s="93">
        <f t="shared" ref="H277" si="109">SUM(H278:H279)</f>
        <v>9332.68</v>
      </c>
      <c r="I277" s="602">
        <f t="shared" si="84"/>
        <v>24.04997660117056</v>
      </c>
      <c r="J277" s="602">
        <f t="shared" si="80"/>
        <v>49.627765700842744</v>
      </c>
      <c r="K277" s="3"/>
      <c r="L277" s="3"/>
      <c r="M277" s="3"/>
      <c r="N277" s="3"/>
      <c r="O277" s="3"/>
      <c r="P277" s="3"/>
      <c r="Q277" s="3"/>
    </row>
    <row r="278" spans="1:17" s="12" customFormat="1" ht="15.75" customHeight="1" x14ac:dyDescent="0.25">
      <c r="A278" s="148"/>
      <c r="B278" s="48" t="s">
        <v>484</v>
      </c>
      <c r="C278" s="148"/>
      <c r="D278" s="143" t="s">
        <v>406</v>
      </c>
      <c r="E278" s="145">
        <f>'Rekapitulacija Posebni dio'!C229</f>
        <v>6792.36</v>
      </c>
      <c r="F278" s="145">
        <f>'Rekapitulacija Posebni dio'!D229</f>
        <v>13500</v>
      </c>
      <c r="G278" s="145">
        <f>'Rekapitulacija Posebni dio'!E229</f>
        <v>13500</v>
      </c>
      <c r="H278" s="145">
        <f>'Rekapitulacija Posebni dio'!F229</f>
        <v>6750</v>
      </c>
      <c r="I278" s="602">
        <f t="shared" si="84"/>
        <v>50</v>
      </c>
      <c r="J278" s="602">
        <f t="shared" si="80"/>
        <v>50</v>
      </c>
      <c r="K278" s="3"/>
      <c r="L278" s="3"/>
      <c r="M278" s="3"/>
      <c r="N278" s="3"/>
      <c r="O278" s="3"/>
      <c r="P278" s="3"/>
      <c r="Q278" s="3"/>
    </row>
    <row r="279" spans="1:17" s="12" customFormat="1" x14ac:dyDescent="0.25">
      <c r="A279" s="148"/>
      <c r="B279" s="48" t="s">
        <v>485</v>
      </c>
      <c r="C279" s="148"/>
      <c r="D279" s="143" t="s">
        <v>403</v>
      </c>
      <c r="E279" s="50">
        <f>'Rekapitulacija Posebni dio'!C230</f>
        <v>12652.68</v>
      </c>
      <c r="F279" s="50">
        <f>'Rekapitulacija Posebni dio'!D230</f>
        <v>25305.360000000001</v>
      </c>
      <c r="G279" s="50">
        <f>'Rekapitulacija Posebni dio'!E230</f>
        <v>5305.36</v>
      </c>
      <c r="H279" s="50">
        <f>'Rekapitulacija Posebni dio'!F230</f>
        <v>2582.6799999999998</v>
      </c>
      <c r="I279" s="602">
        <f t="shared" si="84"/>
        <v>10.206059111587425</v>
      </c>
      <c r="J279" s="602">
        <f t="shared" si="80"/>
        <v>48.680579640212919</v>
      </c>
      <c r="K279" s="3"/>
      <c r="L279" s="3"/>
      <c r="M279" s="3"/>
      <c r="N279" s="3"/>
      <c r="O279" s="3"/>
      <c r="P279" s="3"/>
      <c r="Q279" s="3"/>
    </row>
    <row r="280" spans="1:17" s="12" customFormat="1" hidden="1" x14ac:dyDescent="0.25">
      <c r="A280" s="148"/>
      <c r="B280" s="149" t="s">
        <v>120</v>
      </c>
      <c r="C280" s="148"/>
      <c r="D280" s="158" t="s">
        <v>536</v>
      </c>
      <c r="E280" s="93">
        <f>SUM(E281)</f>
        <v>0</v>
      </c>
      <c r="F280" s="93">
        <f>SUM(F281)</f>
        <v>0</v>
      </c>
      <c r="G280" s="93">
        <f>SUM(G281)</f>
        <v>0</v>
      </c>
      <c r="H280" s="93">
        <f t="shared" ref="H280" si="110">SUM(H281)</f>
        <v>0</v>
      </c>
      <c r="I280" s="602" t="e">
        <f t="shared" si="84"/>
        <v>#DIV/0!</v>
      </c>
      <c r="J280" s="602" t="e">
        <f t="shared" si="80"/>
        <v>#DIV/0!</v>
      </c>
      <c r="K280" s="3"/>
      <c r="L280" s="3"/>
      <c r="M280" s="3"/>
      <c r="N280" s="3"/>
      <c r="O280" s="3"/>
      <c r="P280" s="3"/>
      <c r="Q280" s="3"/>
    </row>
    <row r="281" spans="1:17" s="20" customFormat="1" ht="14.25" hidden="1" customHeight="1" x14ac:dyDescent="0.25">
      <c r="A281" s="148"/>
      <c r="B281" s="48" t="s">
        <v>524</v>
      </c>
      <c r="C281" s="148"/>
      <c r="D281" s="156" t="s">
        <v>537</v>
      </c>
      <c r="E281" s="145">
        <f>'Rekapitulacija Posebni dio'!C587</f>
        <v>0</v>
      </c>
      <c r="F281" s="145">
        <f>'Rekapitulacija Posebni dio'!D587</f>
        <v>0</v>
      </c>
      <c r="G281" s="145">
        <f>'Rekapitulacija Posebni dio'!E587</f>
        <v>0</v>
      </c>
      <c r="H281" s="145">
        <f>'Rekapitulacija Posebni dio'!F587</f>
        <v>0</v>
      </c>
      <c r="I281" s="602" t="e">
        <f t="shared" si="84"/>
        <v>#DIV/0!</v>
      </c>
      <c r="J281" s="602" t="e">
        <f t="shared" si="80"/>
        <v>#DIV/0!</v>
      </c>
      <c r="K281" s="19"/>
      <c r="L281" s="19"/>
      <c r="M281" s="19"/>
      <c r="N281" s="19"/>
      <c r="O281" s="19"/>
      <c r="P281" s="19"/>
      <c r="Q281" s="19"/>
    </row>
    <row r="282" spans="1:17" s="20" customFormat="1" hidden="1" x14ac:dyDescent="0.25">
      <c r="A282" s="148"/>
      <c r="B282" s="149" t="s">
        <v>122</v>
      </c>
      <c r="C282" s="148"/>
      <c r="D282" s="158" t="s">
        <v>123</v>
      </c>
      <c r="E282" s="93">
        <f>SUM(E283)</f>
        <v>0</v>
      </c>
      <c r="F282" s="93">
        <f>SUM(F283)</f>
        <v>0</v>
      </c>
      <c r="G282" s="93">
        <f>SUM(G283)</f>
        <v>0</v>
      </c>
      <c r="H282" s="93">
        <f t="shared" ref="H282" si="111">SUM(H283)</f>
        <v>0</v>
      </c>
      <c r="I282" s="602" t="e">
        <f t="shared" si="84"/>
        <v>#DIV/0!</v>
      </c>
      <c r="J282" s="602" t="e">
        <f t="shared" si="80"/>
        <v>#DIV/0!</v>
      </c>
      <c r="K282" s="19"/>
      <c r="L282" s="19"/>
      <c r="M282" s="19"/>
      <c r="N282" s="19"/>
      <c r="O282" s="19"/>
      <c r="P282" s="19"/>
      <c r="Q282" s="19"/>
    </row>
    <row r="283" spans="1:17" s="20" customFormat="1" hidden="1" x14ac:dyDescent="0.25">
      <c r="A283" s="148"/>
      <c r="B283" s="48" t="s">
        <v>486</v>
      </c>
      <c r="C283" s="148"/>
      <c r="D283" s="156" t="s">
        <v>123</v>
      </c>
      <c r="E283" s="145">
        <f>'Rekapitulacija Posebni dio'!C589</f>
        <v>0</v>
      </c>
      <c r="F283" s="145">
        <f>'Rekapitulacija Posebni dio'!D589</f>
        <v>0</v>
      </c>
      <c r="G283" s="145">
        <f>'Rekapitulacija Posebni dio'!E589</f>
        <v>0</v>
      </c>
      <c r="H283" s="145">
        <f>'Rekapitulacija Posebni dio'!F589</f>
        <v>0</v>
      </c>
      <c r="I283" s="602" t="e">
        <f t="shared" si="84"/>
        <v>#DIV/0!</v>
      </c>
      <c r="J283" s="602" t="e">
        <f t="shared" si="80"/>
        <v>#DIV/0!</v>
      </c>
      <c r="K283" s="19"/>
      <c r="L283" s="19"/>
      <c r="M283" s="19"/>
      <c r="N283" s="19"/>
      <c r="O283" s="19"/>
      <c r="P283" s="19"/>
      <c r="Q283" s="19"/>
    </row>
    <row r="284" spans="1:17" s="20" customFormat="1" hidden="1" x14ac:dyDescent="0.25">
      <c r="A284" s="148"/>
      <c r="B284" s="149" t="s">
        <v>124</v>
      </c>
      <c r="C284" s="148"/>
      <c r="D284" s="158" t="s">
        <v>125</v>
      </c>
      <c r="E284" s="93">
        <f>SUM(E285)</f>
        <v>0</v>
      </c>
      <c r="F284" s="93">
        <f>SUM(F285)</f>
        <v>0</v>
      </c>
      <c r="G284" s="93">
        <f>SUM(G285)</f>
        <v>0</v>
      </c>
      <c r="H284" s="93">
        <f t="shared" ref="H284" si="112">SUM(H285)</f>
        <v>0</v>
      </c>
      <c r="I284" s="602" t="e">
        <f t="shared" si="84"/>
        <v>#DIV/0!</v>
      </c>
      <c r="J284" s="602" t="e">
        <f t="shared" si="80"/>
        <v>#DIV/0!</v>
      </c>
      <c r="K284" s="19"/>
      <c r="L284" s="19"/>
      <c r="M284" s="19"/>
      <c r="N284" s="19"/>
      <c r="O284" s="19"/>
      <c r="P284" s="19"/>
      <c r="Q284" s="19"/>
    </row>
    <row r="285" spans="1:17" s="20" customFormat="1" hidden="1" x14ac:dyDescent="0.25">
      <c r="A285" s="148"/>
      <c r="B285" s="48" t="s">
        <v>487</v>
      </c>
      <c r="C285" s="148"/>
      <c r="D285" s="156" t="s">
        <v>125</v>
      </c>
      <c r="E285" s="50"/>
      <c r="F285" s="50"/>
      <c r="G285" s="50"/>
      <c r="H285" s="50"/>
      <c r="I285" s="602" t="e">
        <f t="shared" si="84"/>
        <v>#DIV/0!</v>
      </c>
      <c r="J285" s="602" t="e">
        <f t="shared" ref="J285:J352" si="113">H285/G285*100</f>
        <v>#DIV/0!</v>
      </c>
      <c r="K285" s="19"/>
      <c r="L285" s="19"/>
      <c r="M285" s="19"/>
      <c r="N285" s="19"/>
      <c r="O285" s="19"/>
      <c r="P285" s="19"/>
      <c r="Q285" s="19"/>
    </row>
    <row r="286" spans="1:17" s="20" customFormat="1" x14ac:dyDescent="0.25">
      <c r="A286" s="148"/>
      <c r="B286" s="149" t="s">
        <v>126</v>
      </c>
      <c r="C286" s="148"/>
      <c r="D286" s="158" t="s">
        <v>127</v>
      </c>
      <c r="E286" s="93">
        <f>E287+E288+E292+E293+E294+E295+E297+E299+E300</f>
        <v>5308.915</v>
      </c>
      <c r="F286" s="93">
        <f>F287+F288+F292+F293+F294+F295+F297+F299+F300</f>
        <v>28535.41</v>
      </c>
      <c r="G286" s="93">
        <f>G287+G288+G292+G293+G294+G295+G297+G299+G300</f>
        <v>28535.41</v>
      </c>
      <c r="H286" s="93">
        <f t="shared" ref="H286" si="114">H287+H288+H292+H293+H294+H295+H297+H299+H300</f>
        <v>4649.88</v>
      </c>
      <c r="I286" s="602">
        <f t="shared" si="84"/>
        <v>16.295122446111691</v>
      </c>
      <c r="J286" s="602">
        <f t="shared" si="113"/>
        <v>16.295122446111691</v>
      </c>
      <c r="K286" s="19"/>
      <c r="L286" s="19"/>
      <c r="M286" s="19"/>
      <c r="N286" s="19"/>
      <c r="O286" s="19"/>
      <c r="P286" s="19"/>
      <c r="Q286" s="19"/>
    </row>
    <row r="287" spans="1:17" s="20" customFormat="1" x14ac:dyDescent="0.25">
      <c r="A287" s="148"/>
      <c r="B287" s="149" t="s">
        <v>128</v>
      </c>
      <c r="C287" s="148"/>
      <c r="D287" s="158" t="s">
        <v>129</v>
      </c>
      <c r="E287" s="93"/>
      <c r="F287" s="93"/>
      <c r="G287" s="93"/>
      <c r="H287" s="93"/>
      <c r="I287" s="602" t="e">
        <f t="shared" si="84"/>
        <v>#DIV/0!</v>
      </c>
      <c r="J287" s="602" t="e">
        <f t="shared" si="113"/>
        <v>#DIV/0!</v>
      </c>
      <c r="K287" s="19"/>
      <c r="L287" s="19"/>
      <c r="M287" s="19"/>
      <c r="N287" s="19"/>
      <c r="O287" s="19"/>
      <c r="P287" s="19"/>
      <c r="Q287" s="19"/>
    </row>
    <row r="288" spans="1:17" s="20" customFormat="1" x14ac:dyDescent="0.25">
      <c r="A288" s="148"/>
      <c r="B288" s="149" t="s">
        <v>130</v>
      </c>
      <c r="C288" s="148"/>
      <c r="D288" s="158" t="s">
        <v>131</v>
      </c>
      <c r="E288" s="93">
        <f>SUM(E289:E291)</f>
        <v>0</v>
      </c>
      <c r="F288" s="93">
        <f>SUM(F289:F291)</f>
        <v>17917.580000000002</v>
      </c>
      <c r="G288" s="93">
        <f>SUM(G289:G291)</f>
        <v>17917.580000000002</v>
      </c>
      <c r="H288" s="93">
        <f t="shared" ref="H288" si="115">SUM(H289:H291)</f>
        <v>0</v>
      </c>
      <c r="I288" s="602">
        <f t="shared" si="84"/>
        <v>0</v>
      </c>
      <c r="J288" s="602">
        <f t="shared" si="113"/>
        <v>0</v>
      </c>
      <c r="K288" s="19"/>
      <c r="L288" s="19"/>
      <c r="M288" s="19"/>
      <c r="N288" s="19"/>
      <c r="O288" s="19"/>
      <c r="P288" s="19"/>
      <c r="Q288" s="19"/>
    </row>
    <row r="289" spans="1:17" s="20" customFormat="1" x14ac:dyDescent="0.25">
      <c r="A289" s="148"/>
      <c r="B289" s="48" t="s">
        <v>512</v>
      </c>
      <c r="C289" s="148"/>
      <c r="D289" s="476" t="s">
        <v>414</v>
      </c>
      <c r="E289" s="50">
        <f>'Rekapitulacija Posebni dio'!C237+'Rekapitulacija Posebni dio'!C593</f>
        <v>0</v>
      </c>
      <c r="F289" s="50">
        <f>'Rekapitulacija Posebni dio'!D237+'Rekapitulacija Posebni dio'!D593</f>
        <v>11000</v>
      </c>
      <c r="G289" s="50">
        <f>'Rekapitulacija Posebni dio'!E237+'Rekapitulacija Posebni dio'!E593</f>
        <v>11000</v>
      </c>
      <c r="H289" s="50">
        <f>'Rekapitulacija Posebni dio'!F237+'Rekapitulacija Posebni dio'!F593</f>
        <v>0</v>
      </c>
      <c r="I289" s="602">
        <f t="shared" si="84"/>
        <v>0</v>
      </c>
      <c r="J289" s="602">
        <f t="shared" si="113"/>
        <v>0</v>
      </c>
      <c r="K289" s="19"/>
      <c r="L289" s="19"/>
      <c r="M289" s="19"/>
      <c r="N289" s="19"/>
      <c r="O289" s="19"/>
      <c r="P289" s="19"/>
      <c r="Q289" s="19"/>
    </row>
    <row r="290" spans="1:17" s="20" customFormat="1" x14ac:dyDescent="0.25">
      <c r="A290" s="148"/>
      <c r="B290" s="48" t="s">
        <v>513</v>
      </c>
      <c r="C290" s="148"/>
      <c r="D290" s="426" t="s">
        <v>415</v>
      </c>
      <c r="E290" s="145">
        <f>'Rekapitulacija Posebni dio'!C238</f>
        <v>0</v>
      </c>
      <c r="F290" s="145">
        <f>'Rekapitulacija Posebni dio'!D238</f>
        <v>3750</v>
      </c>
      <c r="G290" s="145">
        <f>'Rekapitulacija Posebni dio'!E238</f>
        <v>3750</v>
      </c>
      <c r="H290" s="145">
        <f>'Rekapitulacija Posebni dio'!F238</f>
        <v>0</v>
      </c>
      <c r="I290" s="602">
        <f t="shared" si="84"/>
        <v>0</v>
      </c>
      <c r="J290" s="602">
        <f t="shared" si="113"/>
        <v>0</v>
      </c>
      <c r="K290" s="19"/>
      <c r="L290" s="19"/>
      <c r="M290" s="19"/>
      <c r="N290" s="19"/>
      <c r="O290" s="19"/>
      <c r="P290" s="19"/>
      <c r="Q290" s="19"/>
    </row>
    <row r="291" spans="1:17" s="20" customFormat="1" x14ac:dyDescent="0.25">
      <c r="A291" s="148"/>
      <c r="B291" s="48" t="s">
        <v>514</v>
      </c>
      <c r="C291" s="148"/>
      <c r="D291" s="426" t="s">
        <v>413</v>
      </c>
      <c r="E291" s="145">
        <f>'Rekapitulacija Posebni dio'!C239</f>
        <v>0</v>
      </c>
      <c r="F291" s="145">
        <f>'Rekapitulacija Posebni dio'!D239</f>
        <v>3167.5800000000017</v>
      </c>
      <c r="G291" s="145">
        <f>'Rekapitulacija Posebni dio'!E239</f>
        <v>3167.5800000000017</v>
      </c>
      <c r="H291" s="145">
        <f>'Rekapitulacija Posebni dio'!F239</f>
        <v>0</v>
      </c>
      <c r="I291" s="602">
        <f t="shared" si="84"/>
        <v>0</v>
      </c>
      <c r="J291" s="602">
        <f t="shared" si="113"/>
        <v>0</v>
      </c>
      <c r="K291" s="19"/>
      <c r="L291" s="19"/>
      <c r="M291" s="19"/>
      <c r="N291" s="19"/>
      <c r="O291" s="19"/>
      <c r="P291" s="19"/>
      <c r="Q291" s="19"/>
    </row>
    <row r="292" spans="1:17" s="20" customFormat="1" hidden="1" x14ac:dyDescent="0.25">
      <c r="A292" s="148"/>
      <c r="B292" s="149" t="s">
        <v>132</v>
      </c>
      <c r="C292" s="148"/>
      <c r="D292" s="158" t="s">
        <v>133</v>
      </c>
      <c r="E292" s="93"/>
      <c r="F292" s="93"/>
      <c r="G292" s="93"/>
      <c r="H292" s="93"/>
      <c r="I292" s="602" t="e">
        <f t="shared" si="84"/>
        <v>#DIV/0!</v>
      </c>
      <c r="J292" s="602" t="e">
        <f t="shared" si="113"/>
        <v>#DIV/0!</v>
      </c>
      <c r="K292" s="19"/>
      <c r="L292" s="19"/>
      <c r="M292" s="19"/>
      <c r="N292" s="19"/>
      <c r="O292" s="19"/>
      <c r="P292" s="19"/>
      <c r="Q292" s="19"/>
    </row>
    <row r="293" spans="1:17" s="20" customFormat="1" hidden="1" x14ac:dyDescent="0.25">
      <c r="A293" s="148"/>
      <c r="B293" s="185" t="s">
        <v>134</v>
      </c>
      <c r="C293" s="61"/>
      <c r="D293" s="533" t="s">
        <v>135</v>
      </c>
      <c r="E293" s="93"/>
      <c r="F293" s="93"/>
      <c r="G293" s="93"/>
      <c r="H293" s="93"/>
      <c r="I293" s="602" t="e">
        <f t="shared" si="84"/>
        <v>#DIV/0!</v>
      </c>
      <c r="J293" s="602" t="e">
        <f t="shared" si="113"/>
        <v>#DIV/0!</v>
      </c>
      <c r="K293" s="19"/>
      <c r="L293" s="19"/>
      <c r="M293" s="19"/>
      <c r="N293" s="19"/>
      <c r="O293" s="19"/>
      <c r="P293" s="19"/>
      <c r="Q293" s="19"/>
    </row>
    <row r="294" spans="1:17" s="20" customFormat="1" hidden="1" x14ac:dyDescent="0.25">
      <c r="A294" s="148"/>
      <c r="B294" s="185">
        <v>3235</v>
      </c>
      <c r="C294" s="61"/>
      <c r="D294" s="533" t="s">
        <v>136</v>
      </c>
      <c r="E294" s="93"/>
      <c r="F294" s="93"/>
      <c r="G294" s="93"/>
      <c r="H294" s="93"/>
      <c r="I294" s="602" t="e">
        <f t="shared" si="84"/>
        <v>#DIV/0!</v>
      </c>
      <c r="J294" s="602" t="e">
        <f t="shared" si="113"/>
        <v>#DIV/0!</v>
      </c>
      <c r="K294" s="19"/>
      <c r="L294" s="19"/>
      <c r="M294" s="19"/>
      <c r="N294" s="19"/>
      <c r="O294" s="19"/>
      <c r="P294" s="19"/>
      <c r="Q294" s="19"/>
    </row>
    <row r="295" spans="1:17" s="20" customFormat="1" x14ac:dyDescent="0.25">
      <c r="A295" s="148"/>
      <c r="B295" s="185">
        <v>3236</v>
      </c>
      <c r="C295" s="61"/>
      <c r="D295" s="533" t="s">
        <v>137</v>
      </c>
      <c r="E295" s="93">
        <f>SUM(E296)</f>
        <v>1327.23</v>
      </c>
      <c r="F295" s="93">
        <f>SUM(F296)</f>
        <v>2654.46</v>
      </c>
      <c r="G295" s="93">
        <f>SUM(G296)</f>
        <v>2654.46</v>
      </c>
      <c r="H295" s="93">
        <f t="shared" ref="H295" si="116">SUM(H296)</f>
        <v>1327.23</v>
      </c>
      <c r="I295" s="602">
        <f t="shared" ref="I295:I362" si="117">H295/F295*100</f>
        <v>50</v>
      </c>
      <c r="J295" s="602">
        <f t="shared" si="113"/>
        <v>50</v>
      </c>
      <c r="K295" s="19"/>
      <c r="L295" s="19"/>
      <c r="M295" s="19"/>
      <c r="N295" s="19"/>
      <c r="O295" s="19"/>
      <c r="P295" s="19"/>
      <c r="Q295" s="19"/>
    </row>
    <row r="296" spans="1:17" s="20" customFormat="1" x14ac:dyDescent="0.25">
      <c r="A296" s="148"/>
      <c r="B296" s="82">
        <v>32369</v>
      </c>
      <c r="C296" s="21"/>
      <c r="D296" s="159" t="s">
        <v>422</v>
      </c>
      <c r="E296" s="50">
        <f>'Rekapitulacija Posebni dio'!C244</f>
        <v>1327.23</v>
      </c>
      <c r="F296" s="50">
        <f>'Rekapitulacija Posebni dio'!D244</f>
        <v>2654.46</v>
      </c>
      <c r="G296" s="50">
        <f>'Rekapitulacija Posebni dio'!E244</f>
        <v>2654.46</v>
      </c>
      <c r="H296" s="50">
        <f>'Rekapitulacija Posebni dio'!F244</f>
        <v>1327.23</v>
      </c>
      <c r="I296" s="602">
        <f t="shared" si="117"/>
        <v>50</v>
      </c>
      <c r="J296" s="602">
        <f t="shared" si="113"/>
        <v>50</v>
      </c>
      <c r="K296" s="19"/>
      <c r="L296" s="19"/>
      <c r="M296" s="19"/>
      <c r="N296" s="19"/>
      <c r="O296" s="19"/>
      <c r="P296" s="19"/>
      <c r="Q296" s="19"/>
    </row>
    <row r="297" spans="1:17" s="20" customFormat="1" x14ac:dyDescent="0.25">
      <c r="A297" s="148"/>
      <c r="B297" s="185">
        <v>3237</v>
      </c>
      <c r="C297" s="61"/>
      <c r="D297" s="533" t="s">
        <v>138</v>
      </c>
      <c r="E297" s="93">
        <f>SUM(E298)</f>
        <v>2322.65</v>
      </c>
      <c r="F297" s="93">
        <f>SUM(F298)</f>
        <v>4645.3</v>
      </c>
      <c r="G297" s="93">
        <f>SUM(G298)</f>
        <v>4645.3</v>
      </c>
      <c r="H297" s="93">
        <f t="shared" ref="H297" si="118">SUM(H298)</f>
        <v>2322.65</v>
      </c>
      <c r="I297" s="602">
        <f t="shared" si="117"/>
        <v>50</v>
      </c>
      <c r="J297" s="602">
        <f t="shared" si="113"/>
        <v>50</v>
      </c>
      <c r="K297" s="19"/>
      <c r="L297" s="19"/>
      <c r="M297" s="19"/>
      <c r="N297" s="19"/>
      <c r="O297" s="19"/>
      <c r="P297" s="19"/>
      <c r="Q297" s="19"/>
    </row>
    <row r="298" spans="1:17" s="20" customFormat="1" x14ac:dyDescent="0.25">
      <c r="A298" s="148"/>
      <c r="B298" s="82">
        <v>32372</v>
      </c>
      <c r="C298" s="21"/>
      <c r="D298" s="159" t="s">
        <v>423</v>
      </c>
      <c r="E298" s="50">
        <f>'Rekapitulacija Posebni dio'!C246</f>
        <v>2322.65</v>
      </c>
      <c r="F298" s="50">
        <f>'Rekapitulacija Posebni dio'!D246</f>
        <v>4645.3</v>
      </c>
      <c r="G298" s="50">
        <f>'Rekapitulacija Posebni dio'!E246</f>
        <v>4645.3</v>
      </c>
      <c r="H298" s="50">
        <f>'Rekapitulacija Posebni dio'!F246</f>
        <v>2322.65</v>
      </c>
      <c r="I298" s="602">
        <f t="shared" si="117"/>
        <v>50</v>
      </c>
      <c r="J298" s="602">
        <f t="shared" si="113"/>
        <v>50</v>
      </c>
      <c r="K298" s="19"/>
      <c r="L298" s="19"/>
      <c r="M298" s="19"/>
      <c r="N298" s="19"/>
      <c r="O298" s="19"/>
      <c r="P298" s="19"/>
      <c r="Q298" s="19"/>
    </row>
    <row r="299" spans="1:17" s="20" customFormat="1" x14ac:dyDescent="0.25">
      <c r="A299" s="148"/>
      <c r="B299" s="185" t="s">
        <v>139</v>
      </c>
      <c r="C299" s="61"/>
      <c r="D299" s="533" t="s">
        <v>140</v>
      </c>
      <c r="E299" s="93"/>
      <c r="F299" s="93"/>
      <c r="G299" s="93"/>
      <c r="H299" s="93"/>
      <c r="I299" s="602" t="e">
        <f t="shared" si="117"/>
        <v>#DIV/0!</v>
      </c>
      <c r="J299" s="602" t="e">
        <f t="shared" si="113"/>
        <v>#DIV/0!</v>
      </c>
      <c r="K299" s="19"/>
      <c r="L299" s="19"/>
      <c r="M299" s="19"/>
      <c r="N299" s="19"/>
      <c r="O299" s="19"/>
      <c r="P299" s="19"/>
      <c r="Q299" s="19"/>
    </row>
    <row r="300" spans="1:17" s="20" customFormat="1" x14ac:dyDescent="0.25">
      <c r="A300" s="148"/>
      <c r="B300" s="185" t="s">
        <v>141</v>
      </c>
      <c r="C300" s="61"/>
      <c r="D300" s="533" t="s">
        <v>142</v>
      </c>
      <c r="E300" s="93">
        <f>SUM(E301)</f>
        <v>1659.0350000000001</v>
      </c>
      <c r="F300" s="93">
        <f>SUM(F301)</f>
        <v>3318.07</v>
      </c>
      <c r="G300" s="93">
        <f>SUM(G301)</f>
        <v>3318.07</v>
      </c>
      <c r="H300" s="93">
        <f t="shared" ref="H300" si="119">SUM(H301)</f>
        <v>1000</v>
      </c>
      <c r="I300" s="602">
        <f t="shared" si="117"/>
        <v>30.138001910749317</v>
      </c>
      <c r="J300" s="602">
        <f t="shared" si="113"/>
        <v>30.138001910749317</v>
      </c>
      <c r="K300" s="19"/>
      <c r="L300" s="19"/>
      <c r="M300" s="19"/>
      <c r="N300" s="19"/>
      <c r="O300" s="19"/>
      <c r="P300" s="19"/>
      <c r="Q300" s="19"/>
    </row>
    <row r="301" spans="1:17" s="20" customFormat="1" ht="13.9" customHeight="1" x14ac:dyDescent="0.25">
      <c r="A301" s="143"/>
      <c r="B301" s="82">
        <v>32399</v>
      </c>
      <c r="C301" s="21"/>
      <c r="D301" s="159" t="s">
        <v>305</v>
      </c>
      <c r="E301" s="145">
        <f>'Rekapitulacija Posebni dio'!C249+'Rekapitulacija Posebni dio'!C596</f>
        <v>1659.0350000000001</v>
      </c>
      <c r="F301" s="145">
        <f>'Rekapitulacija Posebni dio'!D249+'Rekapitulacija Posebni dio'!D596</f>
        <v>3318.07</v>
      </c>
      <c r="G301" s="145">
        <f>'Rekapitulacija Posebni dio'!E249+'Rekapitulacija Posebni dio'!E596</f>
        <v>3318.07</v>
      </c>
      <c r="H301" s="145">
        <f>'Rekapitulacija Posebni dio'!F249+'Rekapitulacija Posebni dio'!F596</f>
        <v>1000</v>
      </c>
      <c r="I301" s="602">
        <f t="shared" si="117"/>
        <v>30.138001910749317</v>
      </c>
      <c r="J301" s="602">
        <f t="shared" si="113"/>
        <v>30.138001910749317</v>
      </c>
      <c r="K301" s="19"/>
      <c r="L301" s="19"/>
      <c r="M301" s="19"/>
      <c r="N301" s="19"/>
      <c r="O301" s="19"/>
      <c r="P301" s="19"/>
      <c r="Q301" s="19"/>
    </row>
    <row r="302" spans="1:17" s="20" customFormat="1" ht="13.9" customHeight="1" x14ac:dyDescent="0.25">
      <c r="A302" s="143"/>
      <c r="B302" s="60" t="s">
        <v>619</v>
      </c>
      <c r="C302" s="61"/>
      <c r="D302" s="62" t="s">
        <v>127</v>
      </c>
      <c r="E302" s="93">
        <f>E303</f>
        <v>0</v>
      </c>
      <c r="F302" s="93">
        <f>F303</f>
        <v>0</v>
      </c>
      <c r="G302" s="93">
        <f t="shared" ref="G302:H302" si="120">G303</f>
        <v>29954.21</v>
      </c>
      <c r="H302" s="93">
        <f t="shared" si="120"/>
        <v>14977.105</v>
      </c>
      <c r="I302" s="602" t="e">
        <f t="shared" ref="I302:I305" si="121">H302/F302*100</f>
        <v>#DIV/0!</v>
      </c>
      <c r="J302" s="602">
        <f t="shared" ref="J302:J305" si="122">H302/G302*100</f>
        <v>50</v>
      </c>
      <c r="K302" s="19"/>
      <c r="L302" s="19"/>
      <c r="M302" s="19"/>
      <c r="N302" s="19"/>
      <c r="O302" s="19"/>
      <c r="P302" s="19"/>
      <c r="Q302" s="19"/>
    </row>
    <row r="303" spans="1:17" s="20" customFormat="1" ht="13.9" customHeight="1" x14ac:dyDescent="0.25">
      <c r="A303" s="143"/>
      <c r="B303" s="60" t="s">
        <v>620</v>
      </c>
      <c r="C303" s="61"/>
      <c r="D303" s="62" t="s">
        <v>142</v>
      </c>
      <c r="E303" s="93">
        <f>E304+E305</f>
        <v>0</v>
      </c>
      <c r="F303" s="93">
        <f>F304+F305</f>
        <v>0</v>
      </c>
      <c r="G303" s="93">
        <f t="shared" ref="G303:H303" si="123">G304+G305</f>
        <v>29954.21</v>
      </c>
      <c r="H303" s="93">
        <f t="shared" si="123"/>
        <v>14977.105</v>
      </c>
      <c r="I303" s="602" t="e">
        <f t="shared" si="121"/>
        <v>#DIV/0!</v>
      </c>
      <c r="J303" s="602">
        <f t="shared" si="122"/>
        <v>50</v>
      </c>
      <c r="K303" s="19"/>
      <c r="L303" s="19"/>
      <c r="M303" s="19"/>
      <c r="N303" s="19"/>
      <c r="O303" s="19"/>
      <c r="P303" s="19"/>
      <c r="Q303" s="19"/>
    </row>
    <row r="304" spans="1:17" s="20" customFormat="1" ht="13.9" customHeight="1" x14ac:dyDescent="0.25">
      <c r="A304" s="143"/>
      <c r="B304" s="57" t="s">
        <v>621</v>
      </c>
      <c r="C304" s="41"/>
      <c r="D304" s="58" t="s">
        <v>623</v>
      </c>
      <c r="E304" s="145">
        <f>'Rekapitulacija Posebni dio'!C252</f>
        <v>0</v>
      </c>
      <c r="F304" s="145">
        <f>'Rekapitulacija Posebni dio'!D252</f>
        <v>0</v>
      </c>
      <c r="G304" s="145">
        <f>'Rekapitulacija Posebni dio'!E252</f>
        <v>7954.21</v>
      </c>
      <c r="H304" s="145">
        <f>'Rekapitulacija Posebni dio'!F252</f>
        <v>3977.105</v>
      </c>
      <c r="I304" s="602" t="e">
        <f t="shared" si="121"/>
        <v>#DIV/0!</v>
      </c>
      <c r="J304" s="602">
        <f t="shared" si="122"/>
        <v>50</v>
      </c>
      <c r="K304" s="19"/>
      <c r="L304" s="19"/>
      <c r="M304" s="19"/>
      <c r="N304" s="19"/>
      <c r="O304" s="19"/>
      <c r="P304" s="19"/>
      <c r="Q304" s="19"/>
    </row>
    <row r="305" spans="1:17" s="20" customFormat="1" ht="13.9" customHeight="1" x14ac:dyDescent="0.25">
      <c r="A305" s="143"/>
      <c r="B305" s="57" t="s">
        <v>622</v>
      </c>
      <c r="C305" s="41"/>
      <c r="D305" s="58" t="s">
        <v>624</v>
      </c>
      <c r="E305" s="145">
        <f>'Rekapitulacija Posebni dio'!C253</f>
        <v>0</v>
      </c>
      <c r="F305" s="145">
        <f>'Rekapitulacija Posebni dio'!D253</f>
        <v>0</v>
      </c>
      <c r="G305" s="145">
        <f>'Rekapitulacija Posebni dio'!E253</f>
        <v>22000</v>
      </c>
      <c r="H305" s="145">
        <f>'Rekapitulacija Posebni dio'!F253</f>
        <v>11000</v>
      </c>
      <c r="I305" s="602" t="e">
        <f t="shared" si="121"/>
        <v>#DIV/0!</v>
      </c>
      <c r="J305" s="602">
        <f t="shared" si="122"/>
        <v>50</v>
      </c>
      <c r="K305" s="19"/>
      <c r="L305" s="19"/>
      <c r="M305" s="19"/>
      <c r="N305" s="19"/>
      <c r="O305" s="19"/>
      <c r="P305" s="19"/>
      <c r="Q305" s="19"/>
    </row>
    <row r="306" spans="1:17" s="12" customFormat="1" x14ac:dyDescent="0.25">
      <c r="A306" s="143"/>
      <c r="B306" s="79">
        <v>329</v>
      </c>
      <c r="C306" s="41"/>
      <c r="D306" s="160" t="s">
        <v>144</v>
      </c>
      <c r="E306" s="93">
        <f>E307+E308+E310+E312+E313+E314+E315</f>
        <v>1327.23</v>
      </c>
      <c r="F306" s="93">
        <f>F307+F308+F310+F312+F313+F314+F315</f>
        <v>2654.46</v>
      </c>
      <c r="G306" s="93">
        <f>G307+G308+G310+G312+G313+G314+G315</f>
        <v>2654.46</v>
      </c>
      <c r="H306" s="93">
        <f t="shared" ref="H306" si="124">H307+H308+H310+H312+H313+H314+H315</f>
        <v>950</v>
      </c>
      <c r="I306" s="602">
        <f t="shared" si="117"/>
        <v>35.78882333883351</v>
      </c>
      <c r="J306" s="602">
        <f t="shared" si="113"/>
        <v>35.78882333883351</v>
      </c>
      <c r="K306" s="3"/>
      <c r="L306" s="3"/>
      <c r="M306" s="3"/>
      <c r="N306" s="3"/>
      <c r="O306" s="3"/>
      <c r="P306" s="3"/>
      <c r="Q306" s="3"/>
    </row>
    <row r="307" spans="1:17" s="52" customFormat="1" ht="14.25" customHeight="1" x14ac:dyDescent="0.25">
      <c r="A307" s="143"/>
      <c r="B307" s="185" t="s">
        <v>145</v>
      </c>
      <c r="C307" s="61"/>
      <c r="D307" s="62" t="s">
        <v>146</v>
      </c>
      <c r="E307" s="93"/>
      <c r="F307" s="93"/>
      <c r="G307" s="93"/>
      <c r="H307" s="93"/>
      <c r="I307" s="602" t="e">
        <f t="shared" si="117"/>
        <v>#DIV/0!</v>
      </c>
      <c r="J307" s="602" t="e">
        <f t="shared" si="113"/>
        <v>#DIV/0!</v>
      </c>
      <c r="K307" s="51"/>
      <c r="L307" s="51"/>
      <c r="M307" s="51"/>
      <c r="N307" s="51"/>
      <c r="O307" s="51"/>
      <c r="P307" s="51"/>
      <c r="Q307" s="51"/>
    </row>
    <row r="308" spans="1:17" s="52" customFormat="1" x14ac:dyDescent="0.25">
      <c r="A308" s="143"/>
      <c r="B308" s="185">
        <v>3292</v>
      </c>
      <c r="C308" s="61"/>
      <c r="D308" s="533" t="s">
        <v>147</v>
      </c>
      <c r="E308" s="93">
        <f>SUM(E309)</f>
        <v>1327.23</v>
      </c>
      <c r="F308" s="93">
        <f>SUM(F309)</f>
        <v>2654.46</v>
      </c>
      <c r="G308" s="93">
        <f>SUM(G309)</f>
        <v>2654.46</v>
      </c>
      <c r="H308" s="93">
        <f t="shared" ref="H308" si="125">SUM(H309)</f>
        <v>950</v>
      </c>
      <c r="I308" s="602">
        <f t="shared" si="117"/>
        <v>35.78882333883351</v>
      </c>
      <c r="J308" s="602">
        <f t="shared" si="113"/>
        <v>35.78882333883351</v>
      </c>
      <c r="K308" s="51"/>
      <c r="L308" s="51"/>
      <c r="M308" s="51"/>
      <c r="N308" s="51"/>
      <c r="O308" s="51"/>
      <c r="P308" s="51"/>
      <c r="Q308" s="51"/>
    </row>
    <row r="309" spans="1:17" s="52" customFormat="1" x14ac:dyDescent="0.25">
      <c r="A309" s="143"/>
      <c r="B309" s="82" t="s">
        <v>503</v>
      </c>
      <c r="C309" s="21"/>
      <c r="D309" s="426" t="s">
        <v>504</v>
      </c>
      <c r="E309" s="145">
        <f>'Rekapitulacija Posebni dio'!C256</f>
        <v>1327.23</v>
      </c>
      <c r="F309" s="145">
        <f>'Rekapitulacija Posebni dio'!D256</f>
        <v>2654.46</v>
      </c>
      <c r="G309" s="145">
        <f>'Rekapitulacija Posebni dio'!E256</f>
        <v>2654.46</v>
      </c>
      <c r="H309" s="145">
        <f>'Rekapitulacija Posebni dio'!F256</f>
        <v>950</v>
      </c>
      <c r="I309" s="602">
        <f t="shared" si="117"/>
        <v>35.78882333883351</v>
      </c>
      <c r="J309" s="602">
        <f t="shared" si="113"/>
        <v>35.78882333883351</v>
      </c>
      <c r="K309" s="51"/>
      <c r="L309" s="51"/>
      <c r="M309" s="51"/>
      <c r="N309" s="51"/>
      <c r="O309" s="51"/>
      <c r="P309" s="51"/>
      <c r="Q309" s="51"/>
    </row>
    <row r="310" spans="1:17" s="52" customFormat="1" hidden="1" x14ac:dyDescent="0.25">
      <c r="A310" s="143"/>
      <c r="B310" s="185">
        <v>3293</v>
      </c>
      <c r="C310" s="61"/>
      <c r="D310" s="533" t="s">
        <v>148</v>
      </c>
      <c r="E310" s="93">
        <f>SUM(E311)</f>
        <v>0</v>
      </c>
      <c r="F310" s="93">
        <f>SUM(F311)</f>
        <v>0</v>
      </c>
      <c r="G310" s="93">
        <f>SUM(G311)</f>
        <v>0</v>
      </c>
      <c r="H310" s="93">
        <f t="shared" ref="H310" si="126">SUM(H311)</f>
        <v>0</v>
      </c>
      <c r="I310" s="602" t="e">
        <f t="shared" si="117"/>
        <v>#DIV/0!</v>
      </c>
      <c r="J310" s="602" t="e">
        <f t="shared" si="113"/>
        <v>#DIV/0!</v>
      </c>
      <c r="K310" s="51"/>
      <c r="L310" s="51"/>
      <c r="M310" s="51"/>
      <c r="N310" s="51"/>
      <c r="O310" s="51"/>
      <c r="P310" s="51"/>
      <c r="Q310" s="51"/>
    </row>
    <row r="311" spans="1:17" s="12" customFormat="1" hidden="1" x14ac:dyDescent="0.25">
      <c r="A311" s="143"/>
      <c r="B311" s="82">
        <v>32931</v>
      </c>
      <c r="C311" s="21"/>
      <c r="D311" s="159" t="s">
        <v>148</v>
      </c>
      <c r="E311" s="145">
        <f>'Rekapitulacija Posebni dio'!C599</f>
        <v>0</v>
      </c>
      <c r="F311" s="145">
        <f>'Rekapitulacija Posebni dio'!D599</f>
        <v>0</v>
      </c>
      <c r="G311" s="145">
        <f>'Rekapitulacija Posebni dio'!E599</f>
        <v>0</v>
      </c>
      <c r="H311" s="145">
        <f>'Rekapitulacija Posebni dio'!F599</f>
        <v>0</v>
      </c>
      <c r="I311" s="602" t="e">
        <f t="shared" si="117"/>
        <v>#DIV/0!</v>
      </c>
      <c r="J311" s="602" t="e">
        <f t="shared" si="113"/>
        <v>#DIV/0!</v>
      </c>
      <c r="K311" s="3"/>
      <c r="L311" s="3"/>
      <c r="M311" s="3"/>
      <c r="N311" s="3"/>
      <c r="O311" s="3"/>
      <c r="P311" s="3"/>
      <c r="Q311" s="3"/>
    </row>
    <row r="312" spans="1:17" s="191" customFormat="1" hidden="1" x14ac:dyDescent="0.25">
      <c r="A312" s="143"/>
      <c r="B312" s="185">
        <v>3294</v>
      </c>
      <c r="C312" s="61"/>
      <c r="D312" s="533" t="s">
        <v>149</v>
      </c>
      <c r="E312" s="93"/>
      <c r="F312" s="93"/>
      <c r="G312" s="93"/>
      <c r="H312" s="93"/>
      <c r="I312" s="602" t="e">
        <f t="shared" si="117"/>
        <v>#DIV/0!</v>
      </c>
      <c r="J312" s="602" t="e">
        <f t="shared" si="113"/>
        <v>#DIV/0!</v>
      </c>
      <c r="K312" s="190"/>
      <c r="L312" s="190"/>
      <c r="M312" s="190"/>
      <c r="N312" s="190"/>
      <c r="O312" s="190"/>
      <c r="P312" s="190"/>
      <c r="Q312" s="190"/>
    </row>
    <row r="313" spans="1:17" s="193" customFormat="1" hidden="1" x14ac:dyDescent="0.25">
      <c r="A313" s="143"/>
      <c r="B313" s="165">
        <v>3295</v>
      </c>
      <c r="C313" s="61"/>
      <c r="D313" s="166" t="s">
        <v>150</v>
      </c>
      <c r="E313" s="93"/>
      <c r="F313" s="93"/>
      <c r="G313" s="93"/>
      <c r="H313" s="93"/>
      <c r="I313" s="602" t="e">
        <f t="shared" si="117"/>
        <v>#DIV/0!</v>
      </c>
      <c r="J313" s="602" t="e">
        <f t="shared" si="113"/>
        <v>#DIV/0!</v>
      </c>
      <c r="K313" s="192"/>
      <c r="L313" s="192"/>
      <c r="M313" s="192"/>
      <c r="N313" s="192"/>
      <c r="O313" s="192"/>
      <c r="P313" s="192"/>
      <c r="Q313" s="192"/>
    </row>
    <row r="314" spans="1:17" s="195" customFormat="1" hidden="1" x14ac:dyDescent="0.25">
      <c r="A314" s="143"/>
      <c r="B314" s="165">
        <v>3296</v>
      </c>
      <c r="C314" s="61"/>
      <c r="D314" s="166" t="s">
        <v>151</v>
      </c>
      <c r="E314" s="93"/>
      <c r="F314" s="93"/>
      <c r="G314" s="93"/>
      <c r="H314" s="93"/>
      <c r="I314" s="602" t="e">
        <f t="shared" si="117"/>
        <v>#DIV/0!</v>
      </c>
      <c r="J314" s="602" t="e">
        <f t="shared" si="113"/>
        <v>#DIV/0!</v>
      </c>
      <c r="K314" s="194"/>
      <c r="L314" s="194"/>
      <c r="M314" s="194"/>
      <c r="N314" s="194"/>
      <c r="O314" s="194"/>
      <c r="P314" s="194"/>
      <c r="Q314" s="194"/>
    </row>
    <row r="315" spans="1:17" s="195" customFormat="1" hidden="1" x14ac:dyDescent="0.25">
      <c r="A315" s="143"/>
      <c r="B315" s="165" t="s">
        <v>152</v>
      </c>
      <c r="C315" s="61"/>
      <c r="D315" s="166" t="s">
        <v>144</v>
      </c>
      <c r="E315" s="93"/>
      <c r="F315" s="93"/>
      <c r="G315" s="93"/>
      <c r="H315" s="93"/>
      <c r="I315" s="602" t="e">
        <f t="shared" si="117"/>
        <v>#DIV/0!</v>
      </c>
      <c r="J315" s="602" t="e">
        <f t="shared" si="113"/>
        <v>#DIV/0!</v>
      </c>
      <c r="K315" s="194"/>
      <c r="L315" s="194"/>
      <c r="M315" s="194"/>
      <c r="N315" s="194"/>
      <c r="O315" s="194"/>
      <c r="P315" s="194"/>
      <c r="Q315" s="194"/>
    </row>
    <row r="316" spans="1:17" s="195" customFormat="1" hidden="1" x14ac:dyDescent="0.25">
      <c r="A316" s="143"/>
      <c r="B316" s="22">
        <v>34</v>
      </c>
      <c r="C316" s="141"/>
      <c r="D316" s="142" t="s">
        <v>153</v>
      </c>
      <c r="E316" s="92">
        <f>SUM(E317)</f>
        <v>0</v>
      </c>
      <c r="F316" s="92">
        <f>SUM(F317)</f>
        <v>0</v>
      </c>
      <c r="G316" s="92">
        <f>SUM(G317)</f>
        <v>0</v>
      </c>
      <c r="H316" s="92">
        <f t="shared" ref="H316" si="127">SUM(H317)</f>
        <v>0</v>
      </c>
      <c r="I316" s="92" t="e">
        <f t="shared" si="117"/>
        <v>#DIV/0!</v>
      </c>
      <c r="J316" s="92" t="e">
        <f t="shared" si="113"/>
        <v>#DIV/0!</v>
      </c>
      <c r="K316" s="194"/>
      <c r="L316" s="194"/>
      <c r="M316" s="194"/>
      <c r="N316" s="194"/>
      <c r="O316" s="194"/>
      <c r="P316" s="194"/>
      <c r="Q316" s="194"/>
    </row>
    <row r="317" spans="1:17" s="195" customFormat="1" hidden="1" x14ac:dyDescent="0.25">
      <c r="A317" s="143"/>
      <c r="B317" s="79">
        <v>343</v>
      </c>
      <c r="C317" s="41"/>
      <c r="D317" s="160" t="s">
        <v>154</v>
      </c>
      <c r="E317" s="93">
        <f>SUM(E318:E321)</f>
        <v>0</v>
      </c>
      <c r="F317" s="93">
        <f>SUM(F318:F321)</f>
        <v>0</v>
      </c>
      <c r="G317" s="93">
        <f>SUM(G318:G321)</f>
        <v>0</v>
      </c>
      <c r="H317" s="93">
        <f t="shared" ref="H317" si="128">SUM(H318:H321)</f>
        <v>0</v>
      </c>
      <c r="I317" s="602" t="e">
        <f t="shared" si="117"/>
        <v>#DIV/0!</v>
      </c>
      <c r="J317" s="602" t="e">
        <f t="shared" si="113"/>
        <v>#DIV/0!</v>
      </c>
      <c r="K317" s="194"/>
      <c r="L317" s="194"/>
      <c r="M317" s="194"/>
      <c r="N317" s="194"/>
      <c r="O317" s="194"/>
      <c r="P317" s="194"/>
      <c r="Q317" s="194"/>
    </row>
    <row r="318" spans="1:17" s="134" customFormat="1" hidden="1" x14ac:dyDescent="0.25">
      <c r="A318" s="143"/>
      <c r="B318" s="82" t="s">
        <v>155</v>
      </c>
      <c r="C318" s="21"/>
      <c r="D318" s="159" t="s">
        <v>156</v>
      </c>
      <c r="E318" s="145"/>
      <c r="F318" s="145"/>
      <c r="G318" s="145"/>
      <c r="H318" s="145"/>
      <c r="I318" s="602" t="e">
        <f t="shared" si="117"/>
        <v>#DIV/0!</v>
      </c>
      <c r="J318" s="602" t="e">
        <f t="shared" si="113"/>
        <v>#DIV/0!</v>
      </c>
      <c r="K318" s="196"/>
      <c r="L318" s="196"/>
      <c r="M318" s="196"/>
      <c r="N318" s="196"/>
      <c r="O318" s="196"/>
      <c r="P318" s="196"/>
      <c r="Q318" s="196"/>
    </row>
    <row r="319" spans="1:17" s="134" customFormat="1" hidden="1" x14ac:dyDescent="0.25">
      <c r="A319" s="143"/>
      <c r="B319" s="82">
        <v>3432</v>
      </c>
      <c r="C319" s="21"/>
      <c r="D319" s="159" t="s">
        <v>205</v>
      </c>
      <c r="E319" s="145"/>
      <c r="F319" s="145"/>
      <c r="G319" s="145"/>
      <c r="H319" s="145"/>
      <c r="I319" s="602" t="e">
        <f t="shared" si="117"/>
        <v>#DIV/0!</v>
      </c>
      <c r="J319" s="602" t="e">
        <f t="shared" si="113"/>
        <v>#DIV/0!</v>
      </c>
      <c r="K319" s="196"/>
      <c r="L319" s="196"/>
      <c r="M319" s="196"/>
      <c r="N319" s="196"/>
      <c r="O319" s="196"/>
      <c r="P319" s="196"/>
      <c r="Q319" s="196"/>
    </row>
    <row r="320" spans="1:17" s="191" customFormat="1" hidden="1" x14ac:dyDescent="0.25">
      <c r="A320" s="143"/>
      <c r="B320" s="161">
        <v>3433</v>
      </c>
      <c r="C320" s="21"/>
      <c r="D320" s="162" t="s">
        <v>157</v>
      </c>
      <c r="E320" s="145"/>
      <c r="F320" s="145"/>
      <c r="G320" s="145"/>
      <c r="H320" s="145"/>
      <c r="I320" s="602" t="e">
        <f t="shared" si="117"/>
        <v>#DIV/0!</v>
      </c>
      <c r="J320" s="602" t="e">
        <f t="shared" si="113"/>
        <v>#DIV/0!</v>
      </c>
      <c r="K320" s="190"/>
      <c r="L320" s="190"/>
      <c r="M320" s="190"/>
      <c r="N320" s="190"/>
      <c r="O320" s="190"/>
      <c r="P320" s="190"/>
      <c r="Q320" s="190"/>
    </row>
    <row r="321" spans="1:17" s="191" customFormat="1" hidden="1" x14ac:dyDescent="0.25">
      <c r="A321" s="143"/>
      <c r="B321" s="161">
        <v>3434</v>
      </c>
      <c r="C321" s="21"/>
      <c r="D321" s="162" t="s">
        <v>158</v>
      </c>
      <c r="E321" s="145"/>
      <c r="F321" s="145"/>
      <c r="G321" s="145"/>
      <c r="H321" s="145"/>
      <c r="I321" s="602" t="e">
        <f t="shared" si="117"/>
        <v>#DIV/0!</v>
      </c>
      <c r="J321" s="602" t="e">
        <f t="shared" si="113"/>
        <v>#DIV/0!</v>
      </c>
      <c r="K321" s="190"/>
      <c r="L321" s="190"/>
      <c r="M321" s="190"/>
      <c r="N321" s="190"/>
      <c r="O321" s="190"/>
      <c r="P321" s="190"/>
      <c r="Q321" s="190"/>
    </row>
    <row r="322" spans="1:17" s="400" customFormat="1" hidden="1" x14ac:dyDescent="0.25">
      <c r="A322" s="143"/>
      <c r="B322" s="537">
        <v>37</v>
      </c>
      <c r="C322" s="141"/>
      <c r="D322" s="538" t="s">
        <v>162</v>
      </c>
      <c r="E322" s="398">
        <f t="shared" ref="E322:H323" si="129">SUM(E323)</f>
        <v>0</v>
      </c>
      <c r="F322" s="398">
        <f t="shared" si="129"/>
        <v>0</v>
      </c>
      <c r="G322" s="398">
        <f t="shared" si="129"/>
        <v>0</v>
      </c>
      <c r="H322" s="398">
        <f t="shared" si="129"/>
        <v>0</v>
      </c>
      <c r="I322" s="92" t="e">
        <f t="shared" si="117"/>
        <v>#DIV/0!</v>
      </c>
      <c r="J322" s="92" t="e">
        <f t="shared" si="113"/>
        <v>#DIV/0!</v>
      </c>
      <c r="K322" s="399"/>
      <c r="L322" s="399"/>
      <c r="M322" s="399"/>
      <c r="N322" s="399"/>
      <c r="O322" s="399"/>
      <c r="P322" s="399"/>
      <c r="Q322" s="399"/>
    </row>
    <row r="323" spans="1:17" s="400" customFormat="1" hidden="1" x14ac:dyDescent="0.25">
      <c r="A323" s="143"/>
      <c r="B323" s="106">
        <v>372</v>
      </c>
      <c r="C323" s="105"/>
      <c r="D323" s="539" t="s">
        <v>163</v>
      </c>
      <c r="E323" s="401">
        <f t="shared" si="129"/>
        <v>0</v>
      </c>
      <c r="F323" s="401">
        <f t="shared" si="129"/>
        <v>0</v>
      </c>
      <c r="G323" s="401">
        <f t="shared" si="129"/>
        <v>0</v>
      </c>
      <c r="H323" s="401">
        <f t="shared" si="129"/>
        <v>0</v>
      </c>
      <c r="I323" s="602" t="e">
        <f t="shared" si="117"/>
        <v>#DIV/0!</v>
      </c>
      <c r="J323" s="602" t="e">
        <f t="shared" si="113"/>
        <v>#DIV/0!</v>
      </c>
      <c r="K323" s="399"/>
      <c r="L323" s="399"/>
      <c r="M323" s="399"/>
      <c r="N323" s="399"/>
      <c r="O323" s="399"/>
      <c r="P323" s="399"/>
      <c r="Q323" s="399"/>
    </row>
    <row r="324" spans="1:17" s="405" customFormat="1" ht="15.75" hidden="1" x14ac:dyDescent="0.25">
      <c r="A324" s="397"/>
      <c r="B324" s="402">
        <v>3721</v>
      </c>
      <c r="C324" s="397"/>
      <c r="D324" s="403" t="s">
        <v>164</v>
      </c>
      <c r="E324" s="404"/>
      <c r="F324" s="404"/>
      <c r="G324" s="404"/>
      <c r="H324" s="404"/>
      <c r="I324" s="602" t="e">
        <f t="shared" si="117"/>
        <v>#DIV/0!</v>
      </c>
      <c r="J324" s="602" t="e">
        <f t="shared" si="113"/>
        <v>#DIV/0!</v>
      </c>
    </row>
    <row r="325" spans="1:17" hidden="1" x14ac:dyDescent="0.25">
      <c r="A325" s="143"/>
      <c r="B325" s="22" t="s">
        <v>165</v>
      </c>
      <c r="C325" s="141"/>
      <c r="D325" s="142" t="s">
        <v>98</v>
      </c>
      <c r="E325" s="92">
        <f>E328+E326</f>
        <v>0</v>
      </c>
      <c r="F325" s="92">
        <f>F328+F326</f>
        <v>0</v>
      </c>
      <c r="G325" s="92">
        <f>G328+G326</f>
        <v>0</v>
      </c>
      <c r="H325" s="92">
        <f t="shared" ref="H325" si="130">H328+H326</f>
        <v>0</v>
      </c>
      <c r="I325" s="92" t="e">
        <f t="shared" si="117"/>
        <v>#DIV/0!</v>
      </c>
      <c r="J325" s="92" t="e">
        <f t="shared" si="113"/>
        <v>#DIV/0!</v>
      </c>
      <c r="K325" s="67"/>
      <c r="L325" s="103"/>
    </row>
    <row r="326" spans="1:17" hidden="1" x14ac:dyDescent="0.25">
      <c r="A326" s="143"/>
      <c r="B326" s="149" t="s">
        <v>166</v>
      </c>
      <c r="C326" s="148"/>
      <c r="D326" s="207" t="s">
        <v>68</v>
      </c>
      <c r="E326" s="93">
        <f>SUM(E327)</f>
        <v>0</v>
      </c>
      <c r="F326" s="93">
        <f>SUM(F327)</f>
        <v>0</v>
      </c>
      <c r="G326" s="93">
        <f>SUM(G327)</f>
        <v>0</v>
      </c>
      <c r="H326" s="93">
        <f t="shared" ref="H326" si="131">SUM(H327)</f>
        <v>0</v>
      </c>
      <c r="I326" s="602" t="e">
        <f t="shared" si="117"/>
        <v>#DIV/0!</v>
      </c>
      <c r="J326" s="602" t="e">
        <f t="shared" si="113"/>
        <v>#DIV/0!</v>
      </c>
      <c r="K326" s="67"/>
      <c r="L326" s="103"/>
    </row>
    <row r="327" spans="1:17" hidden="1" x14ac:dyDescent="0.25">
      <c r="A327" s="143"/>
      <c r="B327" s="48" t="s">
        <v>168</v>
      </c>
      <c r="C327" s="167"/>
      <c r="D327" s="174" t="s">
        <v>167</v>
      </c>
      <c r="E327" s="50"/>
      <c r="F327" s="50"/>
      <c r="G327" s="50"/>
      <c r="H327" s="50"/>
      <c r="I327" s="602" t="e">
        <f t="shared" si="117"/>
        <v>#DIV/0!</v>
      </c>
      <c r="J327" s="602" t="e">
        <f t="shared" si="113"/>
        <v>#DIV/0!</v>
      </c>
      <c r="K327" s="67"/>
      <c r="L327" s="103"/>
    </row>
    <row r="328" spans="1:17" hidden="1" x14ac:dyDescent="0.25">
      <c r="A328" s="143"/>
      <c r="B328" s="165">
        <v>383</v>
      </c>
      <c r="C328" s="61"/>
      <c r="D328" s="166" t="s">
        <v>169</v>
      </c>
      <c r="E328" s="93">
        <f>SUM(E329:E330)</f>
        <v>0</v>
      </c>
      <c r="F328" s="93">
        <f>SUM(F329:F330)</f>
        <v>0</v>
      </c>
      <c r="G328" s="93">
        <f>SUM(G329:G330)</f>
        <v>0</v>
      </c>
      <c r="H328" s="93">
        <f t="shared" ref="H328" si="132">SUM(H329:H330)</f>
        <v>0</v>
      </c>
      <c r="I328" s="602" t="e">
        <f t="shared" si="117"/>
        <v>#DIV/0!</v>
      </c>
      <c r="J328" s="602" t="e">
        <f t="shared" si="113"/>
        <v>#DIV/0!</v>
      </c>
      <c r="L328" s="67"/>
    </row>
    <row r="329" spans="1:17" hidden="1" x14ac:dyDescent="0.25">
      <c r="A329" s="143"/>
      <c r="B329" s="161">
        <v>3834</v>
      </c>
      <c r="C329" s="21"/>
      <c r="D329" s="162" t="s">
        <v>172</v>
      </c>
      <c r="E329" s="145"/>
      <c r="F329" s="145"/>
      <c r="G329" s="145"/>
      <c r="H329" s="145"/>
      <c r="I329" s="602" t="e">
        <f t="shared" si="117"/>
        <v>#DIV/0!</v>
      </c>
      <c r="J329" s="602" t="e">
        <f t="shared" si="113"/>
        <v>#DIV/0!</v>
      </c>
    </row>
    <row r="330" spans="1:17" hidden="1" x14ac:dyDescent="0.25">
      <c r="A330" s="143"/>
      <c r="B330" s="161">
        <v>3835</v>
      </c>
      <c r="C330" s="21"/>
      <c r="D330" s="162" t="s">
        <v>173</v>
      </c>
      <c r="E330" s="145"/>
      <c r="F330" s="145"/>
      <c r="G330" s="145"/>
      <c r="H330" s="145"/>
      <c r="I330" s="602" t="e">
        <f t="shared" si="117"/>
        <v>#DIV/0!</v>
      </c>
      <c r="J330" s="602" t="e">
        <f t="shared" si="113"/>
        <v>#DIV/0!</v>
      </c>
    </row>
    <row r="331" spans="1:17" hidden="1" x14ac:dyDescent="0.25">
      <c r="A331" s="175">
        <v>4</v>
      </c>
      <c r="B331" s="176"/>
      <c r="C331" s="177"/>
      <c r="D331" s="178" t="s">
        <v>174</v>
      </c>
      <c r="E331" s="119">
        <f>E332+E335</f>
        <v>0</v>
      </c>
      <c r="F331" s="119">
        <f>F332+F335</f>
        <v>0</v>
      </c>
      <c r="G331" s="119">
        <f>G332+G335</f>
        <v>0</v>
      </c>
      <c r="H331" s="119">
        <f t="shared" ref="H331" si="133">H332+H335</f>
        <v>0</v>
      </c>
      <c r="I331" s="600" t="e">
        <f t="shared" si="117"/>
        <v>#DIV/0!</v>
      </c>
      <c r="J331" s="600" t="e">
        <f t="shared" si="113"/>
        <v>#DIV/0!</v>
      </c>
    </row>
    <row r="332" spans="1:17" hidden="1" x14ac:dyDescent="0.25">
      <c r="A332" s="54"/>
      <c r="B332" s="22" t="s">
        <v>175</v>
      </c>
      <c r="C332" s="141"/>
      <c r="D332" s="179" t="s">
        <v>176</v>
      </c>
      <c r="E332" s="92">
        <f t="shared" ref="E332:H333" si="134">SUM(E333)</f>
        <v>0</v>
      </c>
      <c r="F332" s="92">
        <f t="shared" si="134"/>
        <v>0</v>
      </c>
      <c r="G332" s="92">
        <f t="shared" si="134"/>
        <v>0</v>
      </c>
      <c r="H332" s="92">
        <f t="shared" si="134"/>
        <v>0</v>
      </c>
      <c r="I332" s="606" t="e">
        <f t="shared" si="117"/>
        <v>#DIV/0!</v>
      </c>
      <c r="J332" s="606" t="e">
        <f t="shared" si="113"/>
        <v>#DIV/0!</v>
      </c>
    </row>
    <row r="333" spans="1:17" hidden="1" x14ac:dyDescent="0.25">
      <c r="A333" s="54"/>
      <c r="B333" s="79">
        <v>412</v>
      </c>
      <c r="C333" s="53"/>
      <c r="D333" s="182" t="s">
        <v>181</v>
      </c>
      <c r="E333" s="93">
        <f t="shared" si="134"/>
        <v>0</v>
      </c>
      <c r="F333" s="93">
        <f t="shared" si="134"/>
        <v>0</v>
      </c>
      <c r="G333" s="93">
        <f t="shared" si="134"/>
        <v>0</v>
      </c>
      <c r="H333" s="93">
        <f t="shared" si="134"/>
        <v>0</v>
      </c>
      <c r="I333" s="602" t="e">
        <f t="shared" si="117"/>
        <v>#DIV/0!</v>
      </c>
      <c r="J333" s="602" t="e">
        <f t="shared" si="113"/>
        <v>#DIV/0!</v>
      </c>
    </row>
    <row r="334" spans="1:17" hidden="1" x14ac:dyDescent="0.25">
      <c r="A334" s="98"/>
      <c r="B334" s="183">
        <v>4123</v>
      </c>
      <c r="C334" s="64"/>
      <c r="D334" s="184" t="s">
        <v>182</v>
      </c>
      <c r="E334" s="50"/>
      <c r="F334" s="50"/>
      <c r="G334" s="50"/>
      <c r="H334" s="50"/>
      <c r="I334" s="602" t="e">
        <f t="shared" si="117"/>
        <v>#DIV/0!</v>
      </c>
      <c r="J334" s="602" t="e">
        <f t="shared" si="113"/>
        <v>#DIV/0!</v>
      </c>
    </row>
    <row r="335" spans="1:17" hidden="1" x14ac:dyDescent="0.25">
      <c r="A335" s="143"/>
      <c r="B335" s="22">
        <v>42</v>
      </c>
      <c r="C335" s="141"/>
      <c r="D335" s="142" t="s">
        <v>183</v>
      </c>
      <c r="E335" s="92">
        <f>SUM(E336,E338,E348,E350)</f>
        <v>0</v>
      </c>
      <c r="F335" s="92">
        <f>SUM(F336,F338,F348,F350)</f>
        <v>0</v>
      </c>
      <c r="G335" s="92">
        <f>SUM(G336,G338,G348,G350)</f>
        <v>0</v>
      </c>
      <c r="H335" s="92">
        <f t="shared" ref="H335" si="135">SUM(H336,H338,H348,H350)</f>
        <v>0</v>
      </c>
      <c r="I335" s="606" t="e">
        <f t="shared" si="117"/>
        <v>#DIV/0!</v>
      </c>
      <c r="J335" s="606" t="e">
        <f t="shared" si="113"/>
        <v>#DIV/0!</v>
      </c>
    </row>
    <row r="336" spans="1:17" hidden="1" x14ac:dyDescent="0.25">
      <c r="A336" s="143"/>
      <c r="B336" s="43" t="s">
        <v>206</v>
      </c>
      <c r="C336" s="105"/>
      <c r="D336" s="173" t="s">
        <v>207</v>
      </c>
      <c r="E336" s="93">
        <f>SUM(E337)</f>
        <v>0</v>
      </c>
      <c r="F336" s="93">
        <f>SUM(F337)</f>
        <v>0</v>
      </c>
      <c r="G336" s="93">
        <f>SUM(G337)</f>
        <v>0</v>
      </c>
      <c r="H336" s="93">
        <f t="shared" ref="H336" si="136">SUM(H337)</f>
        <v>0</v>
      </c>
      <c r="I336" s="602" t="e">
        <f t="shared" si="117"/>
        <v>#DIV/0!</v>
      </c>
      <c r="J336" s="602" t="e">
        <f t="shared" si="113"/>
        <v>#DIV/0!</v>
      </c>
    </row>
    <row r="337" spans="1:10" hidden="1" x14ac:dyDescent="0.25">
      <c r="A337" s="143"/>
      <c r="B337" s="48" t="s">
        <v>208</v>
      </c>
      <c r="C337" s="167"/>
      <c r="D337" s="174" t="s">
        <v>209</v>
      </c>
      <c r="E337" s="50"/>
      <c r="F337" s="50"/>
      <c r="G337" s="50"/>
      <c r="H337" s="50"/>
      <c r="I337" s="602" t="e">
        <f t="shared" si="117"/>
        <v>#DIV/0!</v>
      </c>
      <c r="J337" s="602" t="e">
        <f t="shared" si="113"/>
        <v>#DIV/0!</v>
      </c>
    </row>
    <row r="338" spans="1:10" hidden="1" x14ac:dyDescent="0.25">
      <c r="A338" s="143"/>
      <c r="B338" s="43">
        <v>422</v>
      </c>
      <c r="C338" s="143"/>
      <c r="D338" s="105" t="s">
        <v>184</v>
      </c>
      <c r="E338" s="93">
        <f>E339+E342+E346</f>
        <v>0</v>
      </c>
      <c r="F338" s="93">
        <f>F339+F342+F346</f>
        <v>0</v>
      </c>
      <c r="G338" s="93">
        <f>G339+G342+G346</f>
        <v>0</v>
      </c>
      <c r="H338" s="93">
        <f t="shared" ref="H338" si="137">H339+H342+H346</f>
        <v>0</v>
      </c>
      <c r="I338" s="602" t="e">
        <f t="shared" si="117"/>
        <v>#DIV/0!</v>
      </c>
      <c r="J338" s="602" t="e">
        <f t="shared" si="113"/>
        <v>#DIV/0!</v>
      </c>
    </row>
    <row r="339" spans="1:10" hidden="1" x14ac:dyDescent="0.25">
      <c r="A339" s="143"/>
      <c r="B339" s="149" t="s">
        <v>185</v>
      </c>
      <c r="C339" s="148"/>
      <c r="D339" s="148" t="s">
        <v>186</v>
      </c>
      <c r="E339" s="93">
        <f>SUM(E340)</f>
        <v>0</v>
      </c>
      <c r="F339" s="93">
        <f>SUM(F340)</f>
        <v>0</v>
      </c>
      <c r="G339" s="93">
        <f>SUM(G340)</f>
        <v>0</v>
      </c>
      <c r="H339" s="93">
        <f t="shared" ref="H339" si="138">SUM(H340)</f>
        <v>0</v>
      </c>
      <c r="I339" s="602" t="e">
        <f t="shared" si="117"/>
        <v>#DIV/0!</v>
      </c>
      <c r="J339" s="602" t="e">
        <f t="shared" si="113"/>
        <v>#DIV/0!</v>
      </c>
    </row>
    <row r="340" spans="1:10" hidden="1" x14ac:dyDescent="0.25">
      <c r="A340" s="143"/>
      <c r="B340" s="144" t="s">
        <v>509</v>
      </c>
      <c r="C340" s="143"/>
      <c r="D340" s="143" t="s">
        <v>446</v>
      </c>
      <c r="E340" s="145">
        <f>'Rekapitulacija Posebni dio'!C604</f>
        <v>0</v>
      </c>
      <c r="F340" s="145">
        <f>'Rekapitulacija Posebni dio'!D604</f>
        <v>0</v>
      </c>
      <c r="G340" s="145">
        <f>'Rekapitulacija Posebni dio'!E604</f>
        <v>0</v>
      </c>
      <c r="H340" s="145">
        <f>'Rekapitulacija Posebni dio'!F604</f>
        <v>0</v>
      </c>
      <c r="I340" s="602" t="e">
        <f t="shared" si="117"/>
        <v>#DIV/0!</v>
      </c>
      <c r="J340" s="602" t="e">
        <f t="shared" si="113"/>
        <v>#DIV/0!</v>
      </c>
    </row>
    <row r="341" spans="1:10" hidden="1" x14ac:dyDescent="0.25">
      <c r="A341" s="143"/>
      <c r="B341" s="144" t="s">
        <v>187</v>
      </c>
      <c r="C341" s="143"/>
      <c r="D341" s="143" t="s">
        <v>188</v>
      </c>
      <c r="E341" s="145"/>
      <c r="F341" s="145"/>
      <c r="G341" s="145"/>
      <c r="H341" s="145"/>
      <c r="I341" s="602" t="e">
        <f t="shared" si="117"/>
        <v>#DIV/0!</v>
      </c>
      <c r="J341" s="602" t="e">
        <f t="shared" si="113"/>
        <v>#DIV/0!</v>
      </c>
    </row>
    <row r="342" spans="1:10" hidden="1" x14ac:dyDescent="0.25">
      <c r="A342" s="143"/>
      <c r="B342" s="185">
        <v>4223</v>
      </c>
      <c r="C342" s="60"/>
      <c r="D342" s="186" t="s">
        <v>189</v>
      </c>
      <c r="E342" s="93">
        <f>SUM(E343)</f>
        <v>0</v>
      </c>
      <c r="F342" s="93">
        <f>SUM(F343)</f>
        <v>0</v>
      </c>
      <c r="G342" s="93">
        <f>SUM(G343)</f>
        <v>0</v>
      </c>
      <c r="H342" s="93">
        <f t="shared" ref="H342" si="139">SUM(H343)</f>
        <v>0</v>
      </c>
      <c r="I342" s="602" t="e">
        <f t="shared" si="117"/>
        <v>#DIV/0!</v>
      </c>
      <c r="J342" s="602" t="e">
        <f t="shared" si="113"/>
        <v>#DIV/0!</v>
      </c>
    </row>
    <row r="343" spans="1:10" hidden="1" x14ac:dyDescent="0.25">
      <c r="A343" s="98"/>
      <c r="B343" s="183">
        <v>42231</v>
      </c>
      <c r="C343" s="64"/>
      <c r="D343" s="184" t="s">
        <v>449</v>
      </c>
      <c r="E343" s="145">
        <f>'Rekapitulacija Posebni dio'!C606</f>
        <v>0</v>
      </c>
      <c r="F343" s="145">
        <f>'Rekapitulacija Posebni dio'!D606</f>
        <v>0</v>
      </c>
      <c r="G343" s="145">
        <f>'Rekapitulacija Posebni dio'!E606</f>
        <v>0</v>
      </c>
      <c r="H343" s="145">
        <f>'Rekapitulacija Posebni dio'!F606</f>
        <v>0</v>
      </c>
      <c r="I343" s="602" t="e">
        <f t="shared" si="117"/>
        <v>#DIV/0!</v>
      </c>
      <c r="J343" s="602" t="e">
        <f t="shared" si="113"/>
        <v>#DIV/0!</v>
      </c>
    </row>
    <row r="344" spans="1:10" hidden="1" x14ac:dyDescent="0.25">
      <c r="A344" s="98"/>
      <c r="B344" s="183">
        <v>4224</v>
      </c>
      <c r="C344" s="64"/>
      <c r="D344" s="184" t="s">
        <v>190</v>
      </c>
      <c r="E344" s="145"/>
      <c r="F344" s="145"/>
      <c r="G344" s="145"/>
      <c r="H344" s="145"/>
      <c r="I344" s="602" t="e">
        <f t="shared" si="117"/>
        <v>#DIV/0!</v>
      </c>
      <c r="J344" s="602" t="e">
        <f t="shared" si="113"/>
        <v>#DIV/0!</v>
      </c>
    </row>
    <row r="345" spans="1:10" hidden="1" x14ac:dyDescent="0.25">
      <c r="A345" s="98"/>
      <c r="B345" s="183">
        <v>4225</v>
      </c>
      <c r="C345" s="64"/>
      <c r="D345" s="184" t="s">
        <v>191</v>
      </c>
      <c r="E345" s="145"/>
      <c r="F345" s="145"/>
      <c r="G345" s="145"/>
      <c r="H345" s="145"/>
      <c r="I345" s="602" t="e">
        <f t="shared" si="117"/>
        <v>#DIV/0!</v>
      </c>
      <c r="J345" s="602" t="e">
        <f t="shared" si="113"/>
        <v>#DIV/0!</v>
      </c>
    </row>
    <row r="346" spans="1:10" hidden="1" x14ac:dyDescent="0.25">
      <c r="A346" s="98"/>
      <c r="B346" s="185">
        <v>4227</v>
      </c>
      <c r="C346" s="60"/>
      <c r="D346" s="186" t="s">
        <v>192</v>
      </c>
      <c r="E346" s="93">
        <f>SUM(E347)</f>
        <v>0</v>
      </c>
      <c r="F346" s="93">
        <f>SUM(F347)</f>
        <v>0</v>
      </c>
      <c r="G346" s="93">
        <f>SUM(G347)</f>
        <v>0</v>
      </c>
      <c r="H346" s="93">
        <f t="shared" ref="H346" si="140">SUM(H347)</f>
        <v>0</v>
      </c>
      <c r="I346" s="602" t="e">
        <f t="shared" si="117"/>
        <v>#DIV/0!</v>
      </c>
      <c r="J346" s="602" t="e">
        <f t="shared" si="113"/>
        <v>#DIV/0!</v>
      </c>
    </row>
    <row r="347" spans="1:10" hidden="1" x14ac:dyDescent="0.25">
      <c r="A347" s="98"/>
      <c r="B347" s="183">
        <v>42273</v>
      </c>
      <c r="C347" s="64"/>
      <c r="D347" s="426" t="s">
        <v>192</v>
      </c>
      <c r="E347" s="145">
        <f>'Rekapitulacija Posebni dio'!C608</f>
        <v>0</v>
      </c>
      <c r="F347" s="145">
        <f>'Rekapitulacija Posebni dio'!D608</f>
        <v>0</v>
      </c>
      <c r="G347" s="145">
        <f>'Rekapitulacija Posebni dio'!E608</f>
        <v>0</v>
      </c>
      <c r="H347" s="145">
        <f>'Rekapitulacija Posebni dio'!F608</f>
        <v>0</v>
      </c>
      <c r="I347" s="602" t="e">
        <f t="shared" si="117"/>
        <v>#DIV/0!</v>
      </c>
      <c r="J347" s="602" t="e">
        <f t="shared" si="113"/>
        <v>#DIV/0!</v>
      </c>
    </row>
    <row r="348" spans="1:10" s="67" customFormat="1" hidden="1" x14ac:dyDescent="0.25">
      <c r="A348" s="85"/>
      <c r="B348" s="185">
        <v>423</v>
      </c>
      <c r="C348" s="60"/>
      <c r="D348" s="186" t="s">
        <v>193</v>
      </c>
      <c r="E348" s="93">
        <f>E349</f>
        <v>0</v>
      </c>
      <c r="F348" s="93">
        <f>F349</f>
        <v>0</v>
      </c>
      <c r="G348" s="93">
        <f>G349</f>
        <v>0</v>
      </c>
      <c r="H348" s="93">
        <f t="shared" ref="H348" si="141">H349</f>
        <v>0</v>
      </c>
      <c r="I348" s="602" t="e">
        <f t="shared" si="117"/>
        <v>#DIV/0!</v>
      </c>
      <c r="J348" s="602" t="e">
        <f t="shared" si="113"/>
        <v>#DIV/0!</v>
      </c>
    </row>
    <row r="349" spans="1:10" hidden="1" x14ac:dyDescent="0.25">
      <c r="A349" s="98"/>
      <c r="B349" s="183">
        <v>4231</v>
      </c>
      <c r="C349" s="64"/>
      <c r="D349" s="184" t="s">
        <v>193</v>
      </c>
      <c r="E349" s="50"/>
      <c r="F349" s="50"/>
      <c r="G349" s="50"/>
      <c r="H349" s="50"/>
      <c r="I349" s="602" t="e">
        <f t="shared" si="117"/>
        <v>#DIV/0!</v>
      </c>
      <c r="J349" s="602" t="e">
        <f t="shared" si="113"/>
        <v>#DIV/0!</v>
      </c>
    </row>
    <row r="350" spans="1:10" hidden="1" x14ac:dyDescent="0.25">
      <c r="A350" s="98"/>
      <c r="B350" s="185">
        <v>426</v>
      </c>
      <c r="C350" s="60"/>
      <c r="D350" s="186" t="s">
        <v>194</v>
      </c>
      <c r="E350" s="93">
        <f>E351</f>
        <v>0</v>
      </c>
      <c r="F350" s="93">
        <f>F351</f>
        <v>0</v>
      </c>
      <c r="G350" s="93">
        <f>G351</f>
        <v>0</v>
      </c>
      <c r="H350" s="93">
        <f t="shared" ref="H350" si="142">H351</f>
        <v>0</v>
      </c>
      <c r="I350" s="602" t="e">
        <f t="shared" si="117"/>
        <v>#DIV/0!</v>
      </c>
      <c r="J350" s="602" t="e">
        <f t="shared" si="113"/>
        <v>#DIV/0!</v>
      </c>
    </row>
    <row r="351" spans="1:10" hidden="1" x14ac:dyDescent="0.25">
      <c r="A351" s="98"/>
      <c r="B351" s="183">
        <v>4262</v>
      </c>
      <c r="C351" s="64"/>
      <c r="D351" s="184" t="s">
        <v>195</v>
      </c>
      <c r="E351" s="50"/>
      <c r="F351" s="50"/>
      <c r="G351" s="50"/>
      <c r="H351" s="50"/>
      <c r="I351" s="602" t="e">
        <f t="shared" si="117"/>
        <v>#DIV/0!</v>
      </c>
      <c r="J351" s="602" t="e">
        <f t="shared" si="113"/>
        <v>#DIV/0!</v>
      </c>
    </row>
    <row r="352" spans="1:10" x14ac:dyDescent="0.25">
      <c r="A352" s="187"/>
      <c r="B352" s="188"/>
      <c r="C352" s="208" t="s">
        <v>65</v>
      </c>
      <c r="D352" s="209" t="s">
        <v>210</v>
      </c>
      <c r="E352" s="210">
        <f>E247+E331</f>
        <v>73952.845000000001</v>
      </c>
      <c r="F352" s="210">
        <f>F247+F331</f>
        <v>163116.33000000002</v>
      </c>
      <c r="G352" s="210">
        <f>G247+G331</f>
        <v>163116.33000000002</v>
      </c>
      <c r="H352" s="210">
        <f>H247+H331</f>
        <v>70071.205000000016</v>
      </c>
      <c r="I352" s="605">
        <f t="shared" si="117"/>
        <v>42.957811152323011</v>
      </c>
      <c r="J352" s="605">
        <f t="shared" si="113"/>
        <v>42.957811152323011</v>
      </c>
    </row>
    <row r="353" spans="1:10" x14ac:dyDescent="0.25">
      <c r="A353" s="137" t="s">
        <v>86</v>
      </c>
      <c r="B353" s="137"/>
      <c r="C353" s="138"/>
      <c r="D353" s="139" t="s">
        <v>87</v>
      </c>
      <c r="E353" s="211">
        <f>E354+E368</f>
        <v>15742.82</v>
      </c>
      <c r="F353" s="211">
        <f>F354+F368</f>
        <v>128013.94999999998</v>
      </c>
      <c r="G353" s="211">
        <f>G354+G368</f>
        <v>188013.95</v>
      </c>
      <c r="H353" s="211">
        <f t="shared" ref="H353" si="143">H354+H368</f>
        <v>26495.16</v>
      </c>
      <c r="I353" s="600">
        <f t="shared" si="117"/>
        <v>20.697088090790107</v>
      </c>
      <c r="J353" s="600">
        <f t="shared" ref="J353:J438" si="144">H353/G353*100</f>
        <v>14.092124547141315</v>
      </c>
    </row>
    <row r="354" spans="1:10" x14ac:dyDescent="0.25">
      <c r="A354" s="105"/>
      <c r="B354" s="22">
        <v>31</v>
      </c>
      <c r="C354" s="141"/>
      <c r="D354" s="142" t="s">
        <v>88</v>
      </c>
      <c r="E354" s="42">
        <f>E355+E361+E365</f>
        <v>15577.77</v>
      </c>
      <c r="F354" s="42">
        <f>F355+F361+F365</f>
        <v>111773.12999999999</v>
      </c>
      <c r="G354" s="42">
        <f>G355+G361+G365</f>
        <v>107973.12999999999</v>
      </c>
      <c r="H354" s="42">
        <f t="shared" ref="H354" si="145">H355+H361+H365</f>
        <v>19453.84</v>
      </c>
      <c r="I354" s="606">
        <f t="shared" si="117"/>
        <v>17.404755507875642</v>
      </c>
      <c r="J354" s="606">
        <f t="shared" si="144"/>
        <v>18.017297451690066</v>
      </c>
    </row>
    <row r="355" spans="1:10" x14ac:dyDescent="0.25">
      <c r="A355" s="105"/>
      <c r="B355" s="43">
        <v>311</v>
      </c>
      <c r="C355" s="143"/>
      <c r="D355" s="105" t="s">
        <v>89</v>
      </c>
      <c r="E355" s="152">
        <f>E356+E359</f>
        <v>15577.77</v>
      </c>
      <c r="F355" s="152">
        <f>F356+F359</f>
        <v>96362.84</v>
      </c>
      <c r="G355" s="152">
        <f>G356+G359</f>
        <v>92562.84</v>
      </c>
      <c r="H355" s="152">
        <f t="shared" ref="H355" si="146">H356+H359</f>
        <v>19453.84</v>
      </c>
      <c r="I355" s="602">
        <f t="shared" si="117"/>
        <v>20.188114007432741</v>
      </c>
      <c r="J355" s="602">
        <f t="shared" si="144"/>
        <v>21.016900518609845</v>
      </c>
    </row>
    <row r="356" spans="1:10" x14ac:dyDescent="0.25">
      <c r="A356" s="105"/>
      <c r="B356" s="149">
        <v>3111</v>
      </c>
      <c r="C356" s="148"/>
      <c r="D356" s="148" t="s">
        <v>90</v>
      </c>
      <c r="E356" s="217">
        <f>SUM(E357)</f>
        <v>15577.77</v>
      </c>
      <c r="F356" s="217">
        <f>SUM(F357)</f>
        <v>96362.84</v>
      </c>
      <c r="G356" s="217">
        <f>SUM(G357)</f>
        <v>92562.84</v>
      </c>
      <c r="H356" s="217">
        <f t="shared" ref="H356" si="147">SUM(H357)</f>
        <v>19453.84</v>
      </c>
      <c r="I356" s="602">
        <f t="shared" si="117"/>
        <v>20.188114007432741</v>
      </c>
      <c r="J356" s="602">
        <f t="shared" si="144"/>
        <v>21.016900518609845</v>
      </c>
    </row>
    <row r="357" spans="1:10" x14ac:dyDescent="0.25">
      <c r="A357" s="105"/>
      <c r="B357" s="144" t="s">
        <v>466</v>
      </c>
      <c r="C357" s="143"/>
      <c r="D357" s="143" t="s">
        <v>90</v>
      </c>
      <c r="E357" s="153">
        <f>'Rekapitulacija Posebni dio'!C302+'Rekapitulacija Posebni dio'!C537+'Rekapitulacija Posebni dio'!C615</f>
        <v>15577.77</v>
      </c>
      <c r="F357" s="153">
        <f>'Rekapitulacija Posebni dio'!D302+'Rekapitulacija Posebni dio'!D537+'Rekapitulacija Posebni dio'!D615</f>
        <v>96362.84</v>
      </c>
      <c r="G357" s="153">
        <f>'Rekapitulacija Posebni dio'!E302+'Rekapitulacija Posebni dio'!E537+'Rekapitulacija Posebni dio'!E615</f>
        <v>92562.84</v>
      </c>
      <c r="H357" s="153">
        <f>'Rekapitulacija Posebni dio'!F302+'Rekapitulacija Posebni dio'!F537+'Rekapitulacija Posebni dio'!F615</f>
        <v>19453.84</v>
      </c>
      <c r="I357" s="602">
        <f t="shared" si="117"/>
        <v>20.188114007432741</v>
      </c>
      <c r="J357" s="602">
        <f t="shared" si="144"/>
        <v>21.016900518609845</v>
      </c>
    </row>
    <row r="358" spans="1:10" hidden="1" x14ac:dyDescent="0.25">
      <c r="A358" s="105"/>
      <c r="B358" s="144" t="s">
        <v>93</v>
      </c>
      <c r="C358" s="143"/>
      <c r="D358" s="143" t="s">
        <v>94</v>
      </c>
      <c r="E358" s="153"/>
      <c r="F358" s="153"/>
      <c r="G358" s="153"/>
      <c r="H358" s="153"/>
      <c r="I358" s="602" t="e">
        <f t="shared" si="117"/>
        <v>#DIV/0!</v>
      </c>
      <c r="J358" s="602" t="e">
        <f t="shared" si="144"/>
        <v>#DIV/0!</v>
      </c>
    </row>
    <row r="359" spans="1:10" hidden="1" x14ac:dyDescent="0.25">
      <c r="A359" s="105"/>
      <c r="B359" s="149" t="s">
        <v>95</v>
      </c>
      <c r="C359" s="148"/>
      <c r="D359" s="148" t="s">
        <v>211</v>
      </c>
      <c r="E359" s="217">
        <f>SUM(E360)</f>
        <v>0</v>
      </c>
      <c r="F359" s="217">
        <f>SUM(F360)</f>
        <v>0</v>
      </c>
      <c r="G359" s="217">
        <f>SUM(G360)</f>
        <v>0</v>
      </c>
      <c r="H359" s="217">
        <f t="shared" ref="H359" si="148">SUM(H360)</f>
        <v>0</v>
      </c>
      <c r="I359" s="602" t="e">
        <f t="shared" si="117"/>
        <v>#DIV/0!</v>
      </c>
      <c r="J359" s="602" t="e">
        <f t="shared" si="144"/>
        <v>#DIV/0!</v>
      </c>
    </row>
    <row r="360" spans="1:10" hidden="1" x14ac:dyDescent="0.25">
      <c r="A360" s="105"/>
      <c r="B360" s="144" t="s">
        <v>469</v>
      </c>
      <c r="C360" s="143"/>
      <c r="D360" s="143" t="s">
        <v>211</v>
      </c>
      <c r="E360" s="153">
        <f>'Rekapitulacija Posebni dio'!C568</f>
        <v>0</v>
      </c>
      <c r="F360" s="153">
        <f>'Rekapitulacija Posebni dio'!D568</f>
        <v>0</v>
      </c>
      <c r="G360" s="153">
        <f>'Rekapitulacija Posebni dio'!E568</f>
        <v>0</v>
      </c>
      <c r="H360" s="153">
        <f>'Rekapitulacija Posebni dio'!F568</f>
        <v>0</v>
      </c>
      <c r="I360" s="602" t="e">
        <f t="shared" si="117"/>
        <v>#DIV/0!</v>
      </c>
      <c r="J360" s="602" t="e">
        <f t="shared" si="144"/>
        <v>#DIV/0!</v>
      </c>
    </row>
    <row r="361" spans="1:10" x14ac:dyDescent="0.25">
      <c r="A361" s="105"/>
      <c r="B361" s="149" t="s">
        <v>97</v>
      </c>
      <c r="C361" s="148"/>
      <c r="D361" s="148" t="s">
        <v>98</v>
      </c>
      <c r="E361" s="217">
        <f>E362</f>
        <v>0</v>
      </c>
      <c r="F361" s="217">
        <f>F362</f>
        <v>995.42</v>
      </c>
      <c r="G361" s="217">
        <f>G362</f>
        <v>995.42</v>
      </c>
      <c r="H361" s="217">
        <f t="shared" ref="H361" si="149">H362</f>
        <v>0</v>
      </c>
      <c r="I361" s="602">
        <f t="shared" si="117"/>
        <v>0</v>
      </c>
      <c r="J361" s="602">
        <f t="shared" si="144"/>
        <v>0</v>
      </c>
    </row>
    <row r="362" spans="1:10" x14ac:dyDescent="0.25">
      <c r="A362" s="105"/>
      <c r="B362" s="144" t="s">
        <v>99</v>
      </c>
      <c r="C362" s="143"/>
      <c r="D362" s="143" t="s">
        <v>98</v>
      </c>
      <c r="E362" s="217">
        <f>SUM(E363:E364)</f>
        <v>0</v>
      </c>
      <c r="F362" s="217">
        <f>SUM(F363:F364)</f>
        <v>995.42</v>
      </c>
      <c r="G362" s="217">
        <f>SUM(G363:G364)</f>
        <v>995.42</v>
      </c>
      <c r="H362" s="217">
        <f t="shared" ref="H362" si="150">SUM(H363:H364)</f>
        <v>0</v>
      </c>
      <c r="I362" s="602">
        <f t="shared" si="117"/>
        <v>0</v>
      </c>
      <c r="J362" s="602">
        <f t="shared" si="144"/>
        <v>0</v>
      </c>
    </row>
    <row r="363" spans="1:10" x14ac:dyDescent="0.25">
      <c r="A363" s="105"/>
      <c r="B363" s="144" t="s">
        <v>474</v>
      </c>
      <c r="C363" s="143"/>
      <c r="D363" s="143" t="s">
        <v>387</v>
      </c>
      <c r="E363" s="218">
        <f>'Rekapitulacija Posebni dio'!C540</f>
        <v>0</v>
      </c>
      <c r="F363" s="218">
        <f>'Rekapitulacija Posebni dio'!D540</f>
        <v>300</v>
      </c>
      <c r="G363" s="218">
        <f>'Rekapitulacija Posebni dio'!E540</f>
        <v>300</v>
      </c>
      <c r="H363" s="218">
        <f>'Rekapitulacija Posebni dio'!F540</f>
        <v>0</v>
      </c>
      <c r="I363" s="602">
        <f t="shared" ref="I363:I448" si="151">H363/F363*100</f>
        <v>0</v>
      </c>
      <c r="J363" s="602">
        <f t="shared" si="144"/>
        <v>0</v>
      </c>
    </row>
    <row r="364" spans="1:10" x14ac:dyDescent="0.25">
      <c r="A364" s="105"/>
      <c r="B364" s="144" t="s">
        <v>475</v>
      </c>
      <c r="C364" s="143"/>
      <c r="D364" s="143" t="s">
        <v>382</v>
      </c>
      <c r="E364" s="153">
        <f>'Rekapitulacija Posebni dio'!C541</f>
        <v>0</v>
      </c>
      <c r="F364" s="153">
        <f>'Rekapitulacija Posebni dio'!D541</f>
        <v>695.42</v>
      </c>
      <c r="G364" s="153">
        <f>'Rekapitulacija Posebni dio'!E541</f>
        <v>695.42</v>
      </c>
      <c r="H364" s="153">
        <f>'Rekapitulacija Posebni dio'!F541</f>
        <v>0</v>
      </c>
      <c r="I364" s="602">
        <f t="shared" si="151"/>
        <v>0</v>
      </c>
      <c r="J364" s="602">
        <f t="shared" si="144"/>
        <v>0</v>
      </c>
    </row>
    <row r="365" spans="1:10" x14ac:dyDescent="0.25">
      <c r="A365" s="105"/>
      <c r="B365" s="149" t="s">
        <v>212</v>
      </c>
      <c r="C365" s="148"/>
      <c r="D365" s="148" t="s">
        <v>100</v>
      </c>
      <c r="E365" s="214">
        <f t="shared" ref="E365:G366" si="152">SUM(E366)</f>
        <v>0</v>
      </c>
      <c r="F365" s="214">
        <f t="shared" si="152"/>
        <v>14414.869999999999</v>
      </c>
      <c r="G365" s="214">
        <f t="shared" si="152"/>
        <v>14414.869999999999</v>
      </c>
      <c r="H365" s="214">
        <f t="shared" ref="H365" si="153">SUM(H367)</f>
        <v>0</v>
      </c>
      <c r="I365" s="602">
        <f t="shared" si="151"/>
        <v>0</v>
      </c>
      <c r="J365" s="602">
        <f t="shared" si="144"/>
        <v>0</v>
      </c>
    </row>
    <row r="366" spans="1:10" x14ac:dyDescent="0.25">
      <c r="A366" s="105"/>
      <c r="B366" s="149" t="s">
        <v>213</v>
      </c>
      <c r="C366" s="148"/>
      <c r="D366" s="148" t="s">
        <v>214</v>
      </c>
      <c r="E366" s="214">
        <f t="shared" si="152"/>
        <v>0</v>
      </c>
      <c r="F366" s="214">
        <f t="shared" si="152"/>
        <v>14414.869999999999</v>
      </c>
      <c r="G366" s="214">
        <f t="shared" si="152"/>
        <v>14414.869999999999</v>
      </c>
      <c r="H366" s="214">
        <f>SUM(H367)</f>
        <v>0</v>
      </c>
      <c r="I366" s="602">
        <f t="shared" si="151"/>
        <v>0</v>
      </c>
      <c r="J366" s="602">
        <f t="shared" si="144"/>
        <v>0</v>
      </c>
    </row>
    <row r="367" spans="1:10" x14ac:dyDescent="0.25">
      <c r="A367" s="105"/>
      <c r="B367" s="144" t="s">
        <v>476</v>
      </c>
      <c r="C367" s="143"/>
      <c r="D367" s="143" t="s">
        <v>214</v>
      </c>
      <c r="E367" s="153">
        <f>'Rekapitulacija Posebni dio'!C309+'Rekapitulacija Posebni dio'!C544+'Rekapitulacija Posebni dio'!C574</f>
        <v>0</v>
      </c>
      <c r="F367" s="153">
        <f>'Rekapitulacija Posebni dio'!D309+'Rekapitulacija Posebni dio'!D544+'Rekapitulacija Posebni dio'!D574</f>
        <v>14414.869999999999</v>
      </c>
      <c r="G367" s="153">
        <f>'Rekapitulacija Posebni dio'!E309+'Rekapitulacija Posebni dio'!E544+'Rekapitulacija Posebni dio'!E574</f>
        <v>14414.869999999999</v>
      </c>
      <c r="H367" s="153">
        <f>'Rekapitulacija Posebni dio'!F309+'Rekapitulacija Posebni dio'!F544+'Rekapitulacija Posebni dio'!F574</f>
        <v>0</v>
      </c>
      <c r="I367" s="602">
        <f t="shared" si="151"/>
        <v>0</v>
      </c>
      <c r="J367" s="602">
        <f t="shared" si="144"/>
        <v>0</v>
      </c>
    </row>
    <row r="368" spans="1:10" x14ac:dyDescent="0.25">
      <c r="A368" s="105"/>
      <c r="B368" s="22">
        <v>32</v>
      </c>
      <c r="C368" s="141"/>
      <c r="D368" s="142" t="s">
        <v>102</v>
      </c>
      <c r="E368" s="215">
        <f>SUM(E378+E369+E390+E406)</f>
        <v>165.05</v>
      </c>
      <c r="F368" s="215">
        <f>SUM(F378+F369+F390+F406)</f>
        <v>16240.82</v>
      </c>
      <c r="G368" s="215">
        <f>SUM(G378+G369+G390+G402+G406)</f>
        <v>80040.820000000007</v>
      </c>
      <c r="H368" s="215">
        <f>SUM(H378+H369+H390+H402+H406)</f>
        <v>7041.32</v>
      </c>
      <c r="I368" s="606">
        <f t="shared" si="151"/>
        <v>43.355692631283397</v>
      </c>
      <c r="J368" s="606">
        <f t="shared" si="144"/>
        <v>8.7971612484729658</v>
      </c>
    </row>
    <row r="369" spans="1:10" x14ac:dyDescent="0.25">
      <c r="A369" s="105"/>
      <c r="B369" s="43" t="s">
        <v>215</v>
      </c>
      <c r="C369" s="105"/>
      <c r="D369" s="173" t="s">
        <v>103</v>
      </c>
      <c r="E369" s="214">
        <f>E371+E375+E377</f>
        <v>165.05</v>
      </c>
      <c r="F369" s="214">
        <f>F371+F375+F377</f>
        <v>11280.64</v>
      </c>
      <c r="G369" s="214">
        <f>G370+G374+G376</f>
        <v>13280.64</v>
      </c>
      <c r="H369" s="214">
        <f>H370+H374+H376</f>
        <v>4229.2</v>
      </c>
      <c r="I369" s="602">
        <f t="shared" si="151"/>
        <v>37.490780664926817</v>
      </c>
      <c r="J369" s="602">
        <f t="shared" si="144"/>
        <v>31.844850850561418</v>
      </c>
    </row>
    <row r="370" spans="1:10" x14ac:dyDescent="0.25">
      <c r="A370" s="105"/>
      <c r="B370" s="149" t="s">
        <v>104</v>
      </c>
      <c r="C370" s="148"/>
      <c r="D370" s="207" t="s">
        <v>105</v>
      </c>
      <c r="E370" s="214">
        <f>SUM(E371:E373)</f>
        <v>0</v>
      </c>
      <c r="F370" s="214">
        <f>SUM(F371:F373)</f>
        <v>4716.17</v>
      </c>
      <c r="G370" s="214">
        <f t="shared" ref="G370" si="154">SUM(G371:G373)</f>
        <v>5316.17</v>
      </c>
      <c r="H370" s="214">
        <f t="shared" ref="H370" si="155">SUM(H371:H373)</f>
        <v>3000.22</v>
      </c>
      <c r="I370" s="602">
        <f t="shared" si="151"/>
        <v>63.615603339150198</v>
      </c>
      <c r="J370" s="602">
        <f t="shared" si="144"/>
        <v>56.435742273102626</v>
      </c>
    </row>
    <row r="371" spans="1:10" x14ac:dyDescent="0.25">
      <c r="A371" s="105"/>
      <c r="B371" s="48" t="s">
        <v>508</v>
      </c>
      <c r="C371" s="105"/>
      <c r="D371" s="174" t="s">
        <v>388</v>
      </c>
      <c r="E371" s="216">
        <f>'Rekapitulacija Posebni dio'!C548+'Rekapitulacija Posebni dio'!C622</f>
        <v>0</v>
      </c>
      <c r="F371" s="216">
        <f>'Rekapitulacija Posebni dio'!D548+'Rekapitulacija Posebni dio'!D622</f>
        <v>4716.17</v>
      </c>
      <c r="G371" s="216">
        <f>'Rekapitulacija Posebni dio'!E548+'Rekapitulacija Posebni dio'!E622</f>
        <v>4316.17</v>
      </c>
      <c r="H371" s="216">
        <f>'Rekapitulacija Posebni dio'!F548+'Rekapitulacija Posebni dio'!F622</f>
        <v>2029.32</v>
      </c>
      <c r="I371" s="602">
        <f t="shared" si="151"/>
        <v>43.028983263962068</v>
      </c>
      <c r="J371" s="602">
        <f t="shared" si="144"/>
        <v>47.016683772881976</v>
      </c>
    </row>
    <row r="372" spans="1:10" x14ac:dyDescent="0.25">
      <c r="A372" s="105"/>
      <c r="B372" s="48" t="s">
        <v>516</v>
      </c>
      <c r="C372" s="105"/>
      <c r="D372" s="174" t="s">
        <v>390</v>
      </c>
      <c r="E372" s="216">
        <f>'Rekapitulacija Posebni dio'!C623</f>
        <v>0</v>
      </c>
      <c r="F372" s="216">
        <f>'Rekapitulacija Posebni dio'!D623</f>
        <v>0</v>
      </c>
      <c r="G372" s="216">
        <f>'Rekapitulacija Posebni dio'!E623</f>
        <v>600</v>
      </c>
      <c r="H372" s="216">
        <f>'Rekapitulacija Posebni dio'!F623</f>
        <v>600</v>
      </c>
      <c r="I372" s="602" t="e">
        <f t="shared" ref="I372:I373" si="156">H372/F372*100</f>
        <v>#DIV/0!</v>
      </c>
      <c r="J372" s="602">
        <f t="shared" ref="J372:J373" si="157">H372/G372*100</f>
        <v>100</v>
      </c>
    </row>
    <row r="373" spans="1:10" x14ac:dyDescent="0.25">
      <c r="A373" s="105"/>
      <c r="B373" s="48" t="s">
        <v>497</v>
      </c>
      <c r="C373" s="105"/>
      <c r="D373" s="174" t="s">
        <v>391</v>
      </c>
      <c r="E373" s="216">
        <f>'Rekapitulacija Posebni dio'!C624</f>
        <v>0</v>
      </c>
      <c r="F373" s="216">
        <f>'Rekapitulacija Posebni dio'!D624</f>
        <v>0</v>
      </c>
      <c r="G373" s="216">
        <f>'Rekapitulacija Posebni dio'!E624</f>
        <v>400</v>
      </c>
      <c r="H373" s="216">
        <f>'Rekapitulacija Posebni dio'!F624</f>
        <v>370.9</v>
      </c>
      <c r="I373" s="602" t="e">
        <f t="shared" si="156"/>
        <v>#DIV/0!</v>
      </c>
      <c r="J373" s="602">
        <f t="shared" si="157"/>
        <v>92.724999999999994</v>
      </c>
    </row>
    <row r="374" spans="1:10" x14ac:dyDescent="0.25">
      <c r="A374" s="105"/>
      <c r="B374" s="149" t="s">
        <v>106</v>
      </c>
      <c r="C374" s="148"/>
      <c r="D374" s="207" t="s">
        <v>107</v>
      </c>
      <c r="E374" s="214">
        <f>SUM(E375)</f>
        <v>165.05</v>
      </c>
      <c r="F374" s="214">
        <f>SUM(F375)</f>
        <v>4905.43</v>
      </c>
      <c r="G374" s="214">
        <f>SUM(G375)</f>
        <v>5305.43</v>
      </c>
      <c r="H374" s="214">
        <f>SUM(H375)</f>
        <v>1228.98</v>
      </c>
      <c r="I374" s="602">
        <f t="shared" si="151"/>
        <v>25.053461164464686</v>
      </c>
      <c r="J374" s="602">
        <f t="shared" si="144"/>
        <v>23.164569130117631</v>
      </c>
    </row>
    <row r="375" spans="1:10" s="51" customFormat="1" x14ac:dyDescent="0.25">
      <c r="A375" s="167"/>
      <c r="B375" s="48" t="s">
        <v>477</v>
      </c>
      <c r="C375" s="167"/>
      <c r="D375" s="174" t="s">
        <v>107</v>
      </c>
      <c r="E375" s="216">
        <f>'Rekapitulacija Posebni dio'!C550+'Rekapitulacija Posebni dio'!C626</f>
        <v>165.05</v>
      </c>
      <c r="F375" s="216">
        <f>'Rekapitulacija Posebni dio'!D550+'Rekapitulacija Posebni dio'!D626</f>
        <v>4905.43</v>
      </c>
      <c r="G375" s="216">
        <f>'Rekapitulacija Posebni dio'!E550+'Rekapitulacija Posebni dio'!E626</f>
        <v>5305.43</v>
      </c>
      <c r="H375" s="216">
        <f>'Rekapitulacija Posebni dio'!F550+'Rekapitulacija Posebni dio'!F626</f>
        <v>1228.98</v>
      </c>
      <c r="I375" s="602">
        <f t="shared" si="151"/>
        <v>25.053461164464686</v>
      </c>
      <c r="J375" s="602">
        <f t="shared" si="144"/>
        <v>23.164569130117631</v>
      </c>
    </row>
    <row r="376" spans="1:10" s="51" customFormat="1" x14ac:dyDescent="0.25">
      <c r="A376" s="167"/>
      <c r="B376" s="149" t="s">
        <v>108</v>
      </c>
      <c r="C376" s="148"/>
      <c r="D376" s="207" t="s">
        <v>109</v>
      </c>
      <c r="E376" s="214">
        <f>SUM(E377)</f>
        <v>0</v>
      </c>
      <c r="F376" s="214">
        <f>SUM(F377)</f>
        <v>1659.04</v>
      </c>
      <c r="G376" s="214">
        <f>SUM(G377)</f>
        <v>2659.04</v>
      </c>
      <c r="H376" s="214">
        <f t="shared" ref="H376" si="158">SUM(H377)</f>
        <v>0</v>
      </c>
      <c r="I376" s="602">
        <f t="shared" si="151"/>
        <v>0</v>
      </c>
      <c r="J376" s="602">
        <f t="shared" si="144"/>
        <v>0</v>
      </c>
    </row>
    <row r="377" spans="1:10" s="51" customFormat="1" x14ac:dyDescent="0.25">
      <c r="A377" s="167"/>
      <c r="B377" s="48" t="s">
        <v>498</v>
      </c>
      <c r="C377" s="167"/>
      <c r="D377" s="174" t="s">
        <v>393</v>
      </c>
      <c r="E377" s="216">
        <f>'Rekapitulacija Posebni dio'!C552+'Rekapitulacija Posebni dio'!C628</f>
        <v>0</v>
      </c>
      <c r="F377" s="216">
        <f>'Rekapitulacija Posebni dio'!D552+'Rekapitulacija Posebni dio'!D628</f>
        <v>1659.04</v>
      </c>
      <c r="G377" s="216">
        <f>'Rekapitulacija Posebni dio'!E552+'Rekapitulacija Posebni dio'!E628</f>
        <v>2659.04</v>
      </c>
      <c r="H377" s="216">
        <f>'Rekapitulacija Posebni dio'!F552+'Rekapitulacija Posebni dio'!F628</f>
        <v>0</v>
      </c>
      <c r="I377" s="602">
        <f t="shared" si="151"/>
        <v>0</v>
      </c>
      <c r="J377" s="602">
        <f t="shared" si="144"/>
        <v>0</v>
      </c>
    </row>
    <row r="378" spans="1:10" x14ac:dyDescent="0.25">
      <c r="A378" s="105"/>
      <c r="B378" s="43" t="s">
        <v>112</v>
      </c>
      <c r="C378" s="105"/>
      <c r="D378" s="105" t="s">
        <v>113</v>
      </c>
      <c r="E378" s="217">
        <f>E379+E383+E385</f>
        <v>0</v>
      </c>
      <c r="F378" s="217">
        <f>F379+F383+F385</f>
        <v>1500</v>
      </c>
      <c r="G378" s="217">
        <f>G379+G383+G385</f>
        <v>6500</v>
      </c>
      <c r="H378" s="217">
        <f>H379+H383+H385</f>
        <v>1109.1199999999999</v>
      </c>
      <c r="I378" s="602">
        <f t="shared" si="151"/>
        <v>73.941333333333318</v>
      </c>
      <c r="J378" s="602">
        <f t="shared" si="144"/>
        <v>17.063384615384614</v>
      </c>
    </row>
    <row r="379" spans="1:10" x14ac:dyDescent="0.25">
      <c r="A379" s="167"/>
      <c r="B379" s="149" t="s">
        <v>114</v>
      </c>
      <c r="C379" s="148"/>
      <c r="D379" s="148" t="s">
        <v>115</v>
      </c>
      <c r="E379" s="217">
        <f t="shared" ref="E379" si="159">E380+E381+E382</f>
        <v>0</v>
      </c>
      <c r="F379" s="217">
        <f t="shared" ref="F379:G379" si="160">F380+F381+F382</f>
        <v>0</v>
      </c>
      <c r="G379" s="217">
        <f t="shared" si="160"/>
        <v>6000</v>
      </c>
      <c r="H379" s="217">
        <f>H380+H381+H382</f>
        <v>1109.1199999999999</v>
      </c>
      <c r="I379" s="602" t="e">
        <f t="shared" si="151"/>
        <v>#DIV/0!</v>
      </c>
      <c r="J379" s="602">
        <f t="shared" si="144"/>
        <v>18.48533333333333</v>
      </c>
    </row>
    <row r="380" spans="1:10" x14ac:dyDescent="0.25">
      <c r="A380" s="167"/>
      <c r="B380" s="48" t="s">
        <v>499</v>
      </c>
      <c r="C380" s="148"/>
      <c r="D380" s="476" t="s">
        <v>395</v>
      </c>
      <c r="E380" s="218">
        <f>'Rekapitulacija Posebni dio'!C313+'Rekapitulacija Posebni dio'!C631</f>
        <v>0</v>
      </c>
      <c r="F380" s="218">
        <f>'Rekapitulacija Posebni dio'!D313+'Rekapitulacija Posebni dio'!D631</f>
        <v>0</v>
      </c>
      <c r="G380" s="218">
        <f>'Rekapitulacija Posebni dio'!E313+'Rekapitulacija Posebni dio'!E631</f>
        <v>2800</v>
      </c>
      <c r="H380" s="218">
        <f>'Rekapitulacija Posebni dio'!F313+'Rekapitulacija Posebni dio'!F631</f>
        <v>494.22</v>
      </c>
      <c r="I380" s="602" t="e">
        <f t="shared" ref="I380:I382" si="161">H380/F380*100</f>
        <v>#DIV/0!</v>
      </c>
      <c r="J380" s="602">
        <f t="shared" ref="J380:J382" si="162">H380/G380*100</f>
        <v>17.650714285714287</v>
      </c>
    </row>
    <row r="381" spans="1:10" x14ac:dyDescent="0.25">
      <c r="A381" s="167"/>
      <c r="B381" s="48" t="s">
        <v>520</v>
      </c>
      <c r="C381" s="148"/>
      <c r="D381" s="476" t="s">
        <v>397</v>
      </c>
      <c r="E381" s="218">
        <f>'Rekapitulacija Posebni dio'!C314</f>
        <v>0</v>
      </c>
      <c r="F381" s="218">
        <f>'Rekapitulacija Posebni dio'!D314</f>
        <v>0</v>
      </c>
      <c r="G381" s="218">
        <f>'Rekapitulacija Posebni dio'!E314</f>
        <v>2000</v>
      </c>
      <c r="H381" s="218">
        <f>'Rekapitulacija Posebni dio'!F314</f>
        <v>0</v>
      </c>
      <c r="I381" s="602" t="e">
        <f t="shared" si="161"/>
        <v>#DIV/0!</v>
      </c>
      <c r="J381" s="602">
        <f t="shared" si="162"/>
        <v>0</v>
      </c>
    </row>
    <row r="382" spans="1:10" x14ac:dyDescent="0.25">
      <c r="A382" s="167"/>
      <c r="B382" s="48" t="s">
        <v>522</v>
      </c>
      <c r="C382" s="148"/>
      <c r="D382" s="476" t="s">
        <v>399</v>
      </c>
      <c r="E382" s="218">
        <f>'Rekapitulacija Posebni dio'!C632</f>
        <v>0</v>
      </c>
      <c r="F382" s="218">
        <f>'Rekapitulacija Posebni dio'!D632</f>
        <v>0</v>
      </c>
      <c r="G382" s="218">
        <f>'Rekapitulacija Posebni dio'!E632</f>
        <v>1200</v>
      </c>
      <c r="H382" s="218">
        <f>'Rekapitulacija Posebni dio'!F632</f>
        <v>614.9</v>
      </c>
      <c r="I382" s="602" t="e">
        <f t="shared" si="161"/>
        <v>#DIV/0!</v>
      </c>
      <c r="J382" s="602">
        <f t="shared" si="162"/>
        <v>51.24166666666666</v>
      </c>
    </row>
    <row r="383" spans="1:10" hidden="1" x14ac:dyDescent="0.25">
      <c r="A383" s="105"/>
      <c r="B383" s="149" t="s">
        <v>116</v>
      </c>
      <c r="C383" s="148"/>
      <c r="D383" s="148" t="s">
        <v>117</v>
      </c>
      <c r="E383" s="217"/>
      <c r="F383" s="217"/>
      <c r="G383" s="217">
        <f>G384</f>
        <v>0</v>
      </c>
      <c r="H383" s="217">
        <f>H384</f>
        <v>0</v>
      </c>
      <c r="I383" s="602" t="e">
        <f t="shared" si="151"/>
        <v>#DIV/0!</v>
      </c>
      <c r="J383" s="602" t="e">
        <f t="shared" si="144"/>
        <v>#DIV/0!</v>
      </c>
    </row>
    <row r="384" spans="1:10" hidden="1" x14ac:dyDescent="0.25">
      <c r="A384" s="105"/>
      <c r="B384" s="48" t="s">
        <v>479</v>
      </c>
      <c r="C384" s="167"/>
      <c r="D384" s="167" t="s">
        <v>400</v>
      </c>
      <c r="E384" s="218"/>
      <c r="F384" s="218"/>
      <c r="G384" s="218">
        <f>'Rekapitulacija Posebni dio'!E316</f>
        <v>0</v>
      </c>
      <c r="H384" s="218">
        <f>'Rekapitulacija Posebni dio'!F316</f>
        <v>0</v>
      </c>
      <c r="I384" s="602"/>
      <c r="J384" s="602" t="e">
        <f t="shared" si="144"/>
        <v>#DIV/0!</v>
      </c>
    </row>
    <row r="385" spans="1:10" x14ac:dyDescent="0.25">
      <c r="A385" s="105"/>
      <c r="B385" s="149" t="s">
        <v>118</v>
      </c>
      <c r="C385" s="148"/>
      <c r="D385" s="148" t="s">
        <v>119</v>
      </c>
      <c r="E385" s="217">
        <f>E388</f>
        <v>0</v>
      </c>
      <c r="F385" s="217">
        <f>F388</f>
        <v>1500</v>
      </c>
      <c r="G385" s="217">
        <f>G386+G387+G388</f>
        <v>500</v>
      </c>
      <c r="H385" s="217">
        <f>H386+H387+H388</f>
        <v>0</v>
      </c>
      <c r="I385" s="602">
        <f t="shared" si="151"/>
        <v>0</v>
      </c>
      <c r="J385" s="602">
        <f t="shared" si="144"/>
        <v>0</v>
      </c>
    </row>
    <row r="386" spans="1:10" hidden="1" x14ac:dyDescent="0.25">
      <c r="A386" s="105"/>
      <c r="B386" s="48" t="s">
        <v>482</v>
      </c>
      <c r="C386" s="167"/>
      <c r="D386" s="167" t="s">
        <v>404</v>
      </c>
      <c r="E386" s="218"/>
      <c r="F386" s="218"/>
      <c r="G386" s="218">
        <f>'Rekapitulacija Posebni dio'!E318</f>
        <v>0</v>
      </c>
      <c r="H386" s="218">
        <f>'Rekapitulacija Posebni dio'!F318</f>
        <v>0</v>
      </c>
      <c r="I386" s="602" t="e">
        <f t="shared" si="151"/>
        <v>#DIV/0!</v>
      </c>
      <c r="J386" s="602" t="e">
        <f t="shared" si="144"/>
        <v>#DIV/0!</v>
      </c>
    </row>
    <row r="387" spans="1:10" hidden="1" x14ac:dyDescent="0.25">
      <c r="A387" s="105"/>
      <c r="B387" s="48" t="s">
        <v>484</v>
      </c>
      <c r="C387" s="167"/>
      <c r="D387" s="167" t="s">
        <v>406</v>
      </c>
      <c r="E387" s="218"/>
      <c r="F387" s="218"/>
      <c r="G387" s="218">
        <f>'Rekapitulacija Posebni dio'!E319</f>
        <v>0</v>
      </c>
      <c r="H387" s="218">
        <f>'Rekapitulacija Posebni dio'!F319</f>
        <v>0</v>
      </c>
      <c r="I387" s="602" t="e">
        <f t="shared" si="151"/>
        <v>#DIV/0!</v>
      </c>
      <c r="J387" s="602" t="e">
        <f t="shared" si="144"/>
        <v>#DIV/0!</v>
      </c>
    </row>
    <row r="388" spans="1:10" x14ac:dyDescent="0.25">
      <c r="A388" s="105"/>
      <c r="B388" s="48" t="s">
        <v>485</v>
      </c>
      <c r="C388" s="167"/>
      <c r="D388" s="167" t="s">
        <v>403</v>
      </c>
      <c r="E388" s="218">
        <f>'Rekapitulacija Posebni dio'!C635</f>
        <v>0</v>
      </c>
      <c r="F388" s="218">
        <f>'Rekapitulacija Posebni dio'!D635</f>
        <v>1500</v>
      </c>
      <c r="G388" s="218">
        <f>'Rekapitulacija Posebni dio'!E635</f>
        <v>500</v>
      </c>
      <c r="H388" s="218">
        <f>'Rekapitulacija Posebni dio'!F635</f>
        <v>0</v>
      </c>
      <c r="I388" s="602">
        <f t="shared" si="151"/>
        <v>0</v>
      </c>
      <c r="J388" s="602">
        <f t="shared" si="144"/>
        <v>0</v>
      </c>
    </row>
    <row r="389" spans="1:10" hidden="1" x14ac:dyDescent="0.25">
      <c r="A389" s="105"/>
      <c r="B389" s="149" t="s">
        <v>120</v>
      </c>
      <c r="C389" s="148"/>
      <c r="D389" s="148" t="s">
        <v>121</v>
      </c>
      <c r="E389" s="217"/>
      <c r="F389" s="217"/>
      <c r="G389" s="217"/>
      <c r="H389" s="217"/>
      <c r="I389" s="602" t="e">
        <f t="shared" si="151"/>
        <v>#DIV/0!</v>
      </c>
      <c r="J389" s="602" t="e">
        <f t="shared" si="144"/>
        <v>#DIV/0!</v>
      </c>
    </row>
    <row r="390" spans="1:10" x14ac:dyDescent="0.25">
      <c r="A390" s="105"/>
      <c r="B390" s="149" t="s">
        <v>126</v>
      </c>
      <c r="C390" s="148"/>
      <c r="D390" s="148" t="s">
        <v>127</v>
      </c>
      <c r="E390" s="217">
        <f>E391+E394+E396+E399</f>
        <v>0</v>
      </c>
      <c r="F390" s="217">
        <f t="shared" ref="F390:H390" si="163">F391+F394+F396+F399</f>
        <v>3460.18</v>
      </c>
      <c r="G390" s="217">
        <f t="shared" si="163"/>
        <v>13260.18</v>
      </c>
      <c r="H390" s="217">
        <f t="shared" si="163"/>
        <v>703</v>
      </c>
      <c r="I390" s="602">
        <f t="shared" si="151"/>
        <v>20.316862128559787</v>
      </c>
      <c r="J390" s="602">
        <f t="shared" si="144"/>
        <v>5.3015871579420493</v>
      </c>
    </row>
    <row r="391" spans="1:10" x14ac:dyDescent="0.25">
      <c r="A391" s="105"/>
      <c r="B391" s="149" t="s">
        <v>128</v>
      </c>
      <c r="C391" s="148"/>
      <c r="D391" s="148" t="s">
        <v>129</v>
      </c>
      <c r="E391" s="217">
        <f>E392+E393</f>
        <v>0</v>
      </c>
      <c r="F391" s="217">
        <f>F392+F393</f>
        <v>0</v>
      </c>
      <c r="G391" s="217">
        <f>G392+G393</f>
        <v>3800</v>
      </c>
      <c r="H391" s="217">
        <f>H392+H393</f>
        <v>400</v>
      </c>
      <c r="I391" s="602" t="e">
        <f t="shared" ref="I391:I394" si="164">H391/F391*100</f>
        <v>#DIV/0!</v>
      </c>
      <c r="J391" s="602">
        <f t="shared" ref="J391:J394" si="165">H391/G391*100</f>
        <v>10.526315789473683</v>
      </c>
    </row>
    <row r="392" spans="1:10" x14ac:dyDescent="0.25">
      <c r="A392" s="105"/>
      <c r="B392" s="48" t="s">
        <v>488</v>
      </c>
      <c r="C392" s="167"/>
      <c r="D392" s="167" t="s">
        <v>411</v>
      </c>
      <c r="E392" s="218">
        <f>'Rekapitulacija Posebni dio'!C323</f>
        <v>0</v>
      </c>
      <c r="F392" s="218">
        <f>'Rekapitulacija Posebni dio'!D323</f>
        <v>0</v>
      </c>
      <c r="G392" s="218">
        <f>'Rekapitulacija Posebni dio'!E323</f>
        <v>3000</v>
      </c>
      <c r="H392" s="218">
        <f>'Rekapitulacija Posebni dio'!F323</f>
        <v>0</v>
      </c>
      <c r="I392" s="602" t="e">
        <f t="shared" si="164"/>
        <v>#DIV/0!</v>
      </c>
      <c r="J392" s="602">
        <f t="shared" si="165"/>
        <v>0</v>
      </c>
    </row>
    <row r="393" spans="1:10" x14ac:dyDescent="0.25">
      <c r="A393" s="105"/>
      <c r="B393" s="48" t="s">
        <v>591</v>
      </c>
      <c r="C393" s="167"/>
      <c r="D393" s="167" t="s">
        <v>592</v>
      </c>
      <c r="E393" s="218">
        <f>'Rekapitulacija Posebni dio'!C640</f>
        <v>0</v>
      </c>
      <c r="F393" s="218">
        <f>'Rekapitulacija Posebni dio'!D640</f>
        <v>0</v>
      </c>
      <c r="G393" s="218">
        <f>'Rekapitulacija Posebni dio'!E640</f>
        <v>800</v>
      </c>
      <c r="H393" s="218">
        <f>'Rekapitulacija Posebni dio'!F640</f>
        <v>400</v>
      </c>
      <c r="I393" s="602" t="e">
        <f t="shared" si="164"/>
        <v>#DIV/0!</v>
      </c>
      <c r="J393" s="602">
        <f t="shared" si="165"/>
        <v>50</v>
      </c>
    </row>
    <row r="394" spans="1:10" x14ac:dyDescent="0.25">
      <c r="A394" s="105"/>
      <c r="B394" s="149" t="s">
        <v>217</v>
      </c>
      <c r="C394" s="148"/>
      <c r="D394" s="148" t="s">
        <v>137</v>
      </c>
      <c r="E394" s="217"/>
      <c r="F394" s="217"/>
      <c r="G394" s="217">
        <f>G395</f>
        <v>7000</v>
      </c>
      <c r="H394" s="217">
        <f>H395</f>
        <v>0</v>
      </c>
      <c r="I394" s="602" t="e">
        <f t="shared" si="164"/>
        <v>#DIV/0!</v>
      </c>
      <c r="J394" s="602">
        <f t="shared" si="165"/>
        <v>0</v>
      </c>
    </row>
    <row r="395" spans="1:10" x14ac:dyDescent="0.25">
      <c r="A395" s="105"/>
      <c r="B395" s="144" t="s">
        <v>500</v>
      </c>
      <c r="C395" s="143"/>
      <c r="D395" s="143" t="s">
        <v>422</v>
      </c>
      <c r="E395" s="153">
        <f>'Rekapitulacija Posebni dio'!C325</f>
        <v>0</v>
      </c>
      <c r="F395" s="153">
        <f>'Rekapitulacija Posebni dio'!D325</f>
        <v>0</v>
      </c>
      <c r="G395" s="153">
        <f>'Rekapitulacija Posebni dio'!E325</f>
        <v>7000</v>
      </c>
      <c r="H395" s="153">
        <f>'Rekapitulacija Posebni dio'!F325</f>
        <v>0</v>
      </c>
      <c r="I395" s="602"/>
      <c r="J395" s="602">
        <f t="shared" si="144"/>
        <v>0</v>
      </c>
    </row>
    <row r="396" spans="1:10" x14ac:dyDescent="0.25">
      <c r="A396" s="105"/>
      <c r="B396" s="149" t="s">
        <v>218</v>
      </c>
      <c r="C396" s="148"/>
      <c r="D396" s="148" t="s">
        <v>138</v>
      </c>
      <c r="E396" s="217">
        <f>SUM(E397)</f>
        <v>0</v>
      </c>
      <c r="F396" s="217">
        <f>SUM(F397)</f>
        <v>3018.74</v>
      </c>
      <c r="G396" s="217">
        <f>SUM(G397:G398)</f>
        <v>1518.74</v>
      </c>
      <c r="H396" s="217">
        <f>SUM(H397:H398)</f>
        <v>0</v>
      </c>
      <c r="I396" s="602">
        <f t="shared" si="151"/>
        <v>0</v>
      </c>
      <c r="J396" s="602">
        <f t="shared" si="144"/>
        <v>0</v>
      </c>
    </row>
    <row r="397" spans="1:10" x14ac:dyDescent="0.25">
      <c r="A397" s="105"/>
      <c r="B397" s="144" t="s">
        <v>501</v>
      </c>
      <c r="C397" s="143"/>
      <c r="D397" s="143" t="s">
        <v>423</v>
      </c>
      <c r="E397" s="153">
        <f>'Rekapitulacija Posebni dio'!C557+'Rekapitulacija Posebni dio'!C644</f>
        <v>0</v>
      </c>
      <c r="F397" s="153">
        <f>'Rekapitulacija Posebni dio'!D557+'Rekapitulacija Posebni dio'!D644</f>
        <v>3018.74</v>
      </c>
      <c r="G397" s="153">
        <f>'Rekapitulacija Posebni dio'!E557+'Rekapitulacija Posebni dio'!E644</f>
        <v>1518.74</v>
      </c>
      <c r="H397" s="153">
        <f>'Rekapitulacija Posebni dio'!F557</f>
        <v>0</v>
      </c>
      <c r="I397" s="602">
        <f t="shared" si="151"/>
        <v>0</v>
      </c>
      <c r="J397" s="602">
        <f t="shared" si="144"/>
        <v>0</v>
      </c>
    </row>
    <row r="398" spans="1:10" hidden="1" x14ac:dyDescent="0.25">
      <c r="A398" s="105"/>
      <c r="B398" s="144" t="s">
        <v>602</v>
      </c>
      <c r="C398" s="143"/>
      <c r="D398" s="143" t="s">
        <v>491</v>
      </c>
      <c r="E398" s="153"/>
      <c r="F398" s="153"/>
      <c r="G398" s="153"/>
      <c r="H398" s="153">
        <f>'Rekapitulacija Posebni dio'!F327</f>
        <v>0</v>
      </c>
      <c r="I398" s="602"/>
      <c r="J398" s="602" t="e">
        <f t="shared" si="144"/>
        <v>#DIV/0!</v>
      </c>
    </row>
    <row r="399" spans="1:10" x14ac:dyDescent="0.25">
      <c r="A399" s="105"/>
      <c r="B399" s="149" t="s">
        <v>141</v>
      </c>
      <c r="C399" s="148"/>
      <c r="D399" s="148" t="s">
        <v>539</v>
      </c>
      <c r="E399" s="217">
        <f>SUM(E401)</f>
        <v>0</v>
      </c>
      <c r="F399" s="217">
        <f>SUM(F401)</f>
        <v>441.44</v>
      </c>
      <c r="G399" s="217">
        <f>SUM(G400:G401)</f>
        <v>941.44</v>
      </c>
      <c r="H399" s="217">
        <f>SUM(H400:H401)</f>
        <v>303</v>
      </c>
      <c r="I399" s="602">
        <f t="shared" si="151"/>
        <v>68.63899963754983</v>
      </c>
      <c r="J399" s="602">
        <f t="shared" si="144"/>
        <v>32.184738273283479</v>
      </c>
    </row>
    <row r="400" spans="1:10" x14ac:dyDescent="0.25">
      <c r="A400" s="105"/>
      <c r="B400" s="48" t="s">
        <v>603</v>
      </c>
      <c r="C400" s="167"/>
      <c r="D400" s="167" t="s">
        <v>426</v>
      </c>
      <c r="E400" s="218"/>
      <c r="F400" s="218"/>
      <c r="G400" s="218">
        <f>'Rekapitulacija Posebni dio'!E329</f>
        <v>0</v>
      </c>
      <c r="H400" s="218">
        <f>'Rekapitulacija Posebni dio'!F329</f>
        <v>0</v>
      </c>
      <c r="I400" s="602"/>
      <c r="J400" s="602" t="e">
        <f t="shared" si="144"/>
        <v>#DIV/0!</v>
      </c>
    </row>
    <row r="401" spans="1:10" x14ac:dyDescent="0.25">
      <c r="A401" s="105"/>
      <c r="B401" s="144" t="s">
        <v>502</v>
      </c>
      <c r="C401" s="143"/>
      <c r="D401" s="143" t="s">
        <v>305</v>
      </c>
      <c r="E401" s="153">
        <f>'Rekapitulacija Posebni dio'!C559+'Rekapitulacija Posebni dio'!C646</f>
        <v>0</v>
      </c>
      <c r="F401" s="153">
        <f>'Rekapitulacija Posebni dio'!D559+'Rekapitulacija Posebni dio'!D646</f>
        <v>441.44</v>
      </c>
      <c r="G401" s="153">
        <f>'Rekapitulacija Posebni dio'!E559+'Rekapitulacija Posebni dio'!E646</f>
        <v>941.44</v>
      </c>
      <c r="H401" s="153">
        <f>'Rekapitulacija Posebni dio'!F559+'Rekapitulacija Posebni dio'!F646</f>
        <v>303</v>
      </c>
      <c r="I401" s="602">
        <f t="shared" si="151"/>
        <v>68.63899963754983</v>
      </c>
      <c r="J401" s="602">
        <f t="shared" si="144"/>
        <v>32.184738273283479</v>
      </c>
    </row>
    <row r="402" spans="1:10" x14ac:dyDescent="0.25">
      <c r="A402" s="105"/>
      <c r="B402" s="60" t="s">
        <v>619</v>
      </c>
      <c r="C402" s="61"/>
      <c r="D402" s="62" t="s">
        <v>127</v>
      </c>
      <c r="E402" s="217">
        <f t="shared" ref="E402:H402" si="166">E403</f>
        <v>0</v>
      </c>
      <c r="F402" s="217">
        <f t="shared" si="166"/>
        <v>0</v>
      </c>
      <c r="G402" s="217">
        <f t="shared" si="166"/>
        <v>46000</v>
      </c>
      <c r="H402" s="217">
        <f t="shared" si="166"/>
        <v>0</v>
      </c>
      <c r="I402" s="602" t="e">
        <f t="shared" ref="I402:I405" si="167">H402/F402*100</f>
        <v>#DIV/0!</v>
      </c>
      <c r="J402" s="602">
        <f t="shared" ref="J402:J405" si="168">H402/G402*100</f>
        <v>0</v>
      </c>
    </row>
    <row r="403" spans="1:10" x14ac:dyDescent="0.25">
      <c r="A403" s="105"/>
      <c r="B403" s="60" t="s">
        <v>620</v>
      </c>
      <c r="C403" s="61"/>
      <c r="D403" s="62" t="s">
        <v>142</v>
      </c>
      <c r="E403" s="217">
        <f>E404+E405</f>
        <v>0</v>
      </c>
      <c r="F403" s="217">
        <f>F404+F405</f>
        <v>0</v>
      </c>
      <c r="G403" s="217">
        <f t="shared" ref="G403:H403" si="169">G404+G405</f>
        <v>46000</v>
      </c>
      <c r="H403" s="217">
        <f t="shared" si="169"/>
        <v>0</v>
      </c>
      <c r="I403" s="602" t="e">
        <f t="shared" si="167"/>
        <v>#DIV/0!</v>
      </c>
      <c r="J403" s="602">
        <f t="shared" si="168"/>
        <v>0</v>
      </c>
    </row>
    <row r="404" spans="1:10" x14ac:dyDescent="0.25">
      <c r="A404" s="105"/>
      <c r="B404" s="57" t="s">
        <v>621</v>
      </c>
      <c r="C404" s="41"/>
      <c r="D404" s="58" t="s">
        <v>623</v>
      </c>
      <c r="E404" s="153">
        <f>'Rekapitulacija Posebni dio'!C333</f>
        <v>0</v>
      </c>
      <c r="F404" s="153">
        <f>'Rekapitulacija Posebni dio'!D333</f>
        <v>0</v>
      </c>
      <c r="G404" s="153">
        <f>'Rekapitulacija Posebni dio'!E333</f>
        <v>4000</v>
      </c>
      <c r="H404" s="153">
        <f>'Rekapitulacija Posebni dio'!F333</f>
        <v>0</v>
      </c>
      <c r="I404" s="602" t="e">
        <f t="shared" si="167"/>
        <v>#DIV/0!</v>
      </c>
      <c r="J404" s="602">
        <f t="shared" si="168"/>
        <v>0</v>
      </c>
    </row>
    <row r="405" spans="1:10" x14ac:dyDescent="0.25">
      <c r="A405" s="105"/>
      <c r="B405" s="57" t="s">
        <v>622</v>
      </c>
      <c r="C405" s="41"/>
      <c r="D405" s="58" t="s">
        <v>624</v>
      </c>
      <c r="E405" s="153">
        <f>'Rekapitulacija Posebni dio'!C334</f>
        <v>0</v>
      </c>
      <c r="F405" s="153">
        <f>'Rekapitulacija Posebni dio'!D334</f>
        <v>0</v>
      </c>
      <c r="G405" s="153">
        <f>'Rekapitulacija Posebni dio'!E334</f>
        <v>42000</v>
      </c>
      <c r="H405" s="153">
        <f>'Rekapitulacija Posebni dio'!F334</f>
        <v>0</v>
      </c>
      <c r="I405" s="602" t="e">
        <f t="shared" si="167"/>
        <v>#DIV/0!</v>
      </c>
      <c r="J405" s="602">
        <f t="shared" si="168"/>
        <v>0</v>
      </c>
    </row>
    <row r="406" spans="1:10" x14ac:dyDescent="0.25">
      <c r="A406" s="105"/>
      <c r="B406" s="149" t="s">
        <v>219</v>
      </c>
      <c r="C406" s="148"/>
      <c r="D406" s="148" t="s">
        <v>220</v>
      </c>
      <c r="E406" s="217">
        <f>SUM(E409:E411)</f>
        <v>0</v>
      </c>
      <c r="F406" s="217">
        <f>SUM(F409:F411)</f>
        <v>0</v>
      </c>
      <c r="G406" s="217">
        <f>G409+G411</f>
        <v>1000</v>
      </c>
      <c r="H406" s="217">
        <f>H407+H409+H411+H412</f>
        <v>1000</v>
      </c>
      <c r="I406" s="602" t="e">
        <f t="shared" si="151"/>
        <v>#DIV/0!</v>
      </c>
      <c r="J406" s="602">
        <f t="shared" si="144"/>
        <v>100</v>
      </c>
    </row>
    <row r="407" spans="1:10" hidden="1" x14ac:dyDescent="0.25">
      <c r="A407" s="105"/>
      <c r="B407" s="149" t="s">
        <v>231</v>
      </c>
      <c r="C407" s="148"/>
      <c r="D407" s="148" t="s">
        <v>147</v>
      </c>
      <c r="E407" s="217"/>
      <c r="F407" s="217"/>
      <c r="G407" s="217">
        <f>G408</f>
        <v>0</v>
      </c>
      <c r="H407" s="217">
        <f>H408</f>
        <v>0</v>
      </c>
      <c r="I407" s="602"/>
      <c r="J407" s="602" t="e">
        <f t="shared" si="144"/>
        <v>#DIV/0!</v>
      </c>
    </row>
    <row r="408" spans="1:10" hidden="1" x14ac:dyDescent="0.25">
      <c r="A408" s="167"/>
      <c r="B408" s="48" t="s">
        <v>604</v>
      </c>
      <c r="C408" s="167"/>
      <c r="D408" s="167" t="s">
        <v>428</v>
      </c>
      <c r="E408" s="218"/>
      <c r="F408" s="218"/>
      <c r="G408" s="218">
        <f>'Rekapitulacija Posebni dio'!E337</f>
        <v>0</v>
      </c>
      <c r="H408" s="218">
        <f>'Rekapitulacija Posebni dio'!F337</f>
        <v>0</v>
      </c>
      <c r="I408" s="602"/>
      <c r="J408" s="602" t="e">
        <f t="shared" si="144"/>
        <v>#DIV/0!</v>
      </c>
    </row>
    <row r="409" spans="1:10" x14ac:dyDescent="0.25">
      <c r="A409" s="105"/>
      <c r="B409" s="149" t="s">
        <v>221</v>
      </c>
      <c r="C409" s="148"/>
      <c r="D409" s="148" t="s">
        <v>148</v>
      </c>
      <c r="E409" s="217"/>
      <c r="F409" s="217"/>
      <c r="G409" s="217">
        <f>G410</f>
        <v>1000</v>
      </c>
      <c r="H409" s="217">
        <f>H410</f>
        <v>1000</v>
      </c>
      <c r="I409" s="602" t="e">
        <f t="shared" si="151"/>
        <v>#DIV/0!</v>
      </c>
      <c r="J409" s="602">
        <f t="shared" si="144"/>
        <v>100</v>
      </c>
    </row>
    <row r="410" spans="1:10" x14ac:dyDescent="0.25">
      <c r="A410" s="105"/>
      <c r="B410" s="144" t="s">
        <v>535</v>
      </c>
      <c r="C410" s="143"/>
      <c r="D410" s="143" t="s">
        <v>148</v>
      </c>
      <c r="E410" s="153">
        <f>'Rekapitulacija Posebni dio'!C339+'Rekapitulacija Posebni dio'!C649</f>
        <v>0</v>
      </c>
      <c r="F410" s="153">
        <f>'Rekapitulacija Posebni dio'!D339+'Rekapitulacija Posebni dio'!D649</f>
        <v>0</v>
      </c>
      <c r="G410" s="153">
        <f>'Rekapitulacija Posebni dio'!E339+'Rekapitulacija Posebni dio'!E649</f>
        <v>1000</v>
      </c>
      <c r="H410" s="153">
        <f>'Rekapitulacija Posebni dio'!F339+'Rekapitulacija Posebni dio'!F649</f>
        <v>1000</v>
      </c>
      <c r="I410" s="602"/>
      <c r="J410" s="602">
        <f t="shared" si="144"/>
        <v>100</v>
      </c>
    </row>
    <row r="411" spans="1:10" hidden="1" x14ac:dyDescent="0.25">
      <c r="A411" s="105"/>
      <c r="B411" s="149" t="s">
        <v>222</v>
      </c>
      <c r="C411" s="148"/>
      <c r="D411" s="148" t="s">
        <v>150</v>
      </c>
      <c r="E411" s="217"/>
      <c r="F411" s="217"/>
      <c r="G411" s="217"/>
      <c r="H411" s="217"/>
      <c r="I411" s="602" t="e">
        <f t="shared" si="151"/>
        <v>#DIV/0!</v>
      </c>
      <c r="J411" s="602" t="e">
        <f t="shared" si="144"/>
        <v>#DIV/0!</v>
      </c>
    </row>
    <row r="412" spans="1:10" hidden="1" x14ac:dyDescent="0.25">
      <c r="A412" s="105"/>
      <c r="B412" s="149" t="s">
        <v>152</v>
      </c>
      <c r="C412" s="148"/>
      <c r="D412" s="148" t="s">
        <v>144</v>
      </c>
      <c r="E412" s="217"/>
      <c r="F412" s="217"/>
      <c r="G412" s="217">
        <f>G413</f>
        <v>0</v>
      </c>
      <c r="H412" s="217">
        <f>H413</f>
        <v>0</v>
      </c>
      <c r="I412" s="602"/>
      <c r="J412" s="602" t="e">
        <f t="shared" si="144"/>
        <v>#DIV/0!</v>
      </c>
    </row>
    <row r="413" spans="1:10" hidden="1" x14ac:dyDescent="0.25">
      <c r="A413" s="105"/>
      <c r="B413" s="144" t="s">
        <v>605</v>
      </c>
      <c r="C413" s="143"/>
      <c r="D413" s="143" t="s">
        <v>144</v>
      </c>
      <c r="E413" s="153"/>
      <c r="F413" s="153"/>
      <c r="G413" s="153"/>
      <c r="H413" s="153">
        <f>'Rekapitulacija Posebni dio'!F341</f>
        <v>0</v>
      </c>
      <c r="I413" s="602"/>
      <c r="J413" s="602" t="e">
        <f t="shared" si="144"/>
        <v>#DIV/0!</v>
      </c>
    </row>
    <row r="414" spans="1:10" hidden="1" x14ac:dyDescent="0.25">
      <c r="A414" s="175">
        <v>4</v>
      </c>
      <c r="B414" s="176"/>
      <c r="C414" s="177"/>
      <c r="D414" s="178" t="s">
        <v>174</v>
      </c>
      <c r="E414" s="221">
        <f t="shared" ref="E414:H415" si="170">E415</f>
        <v>0</v>
      </c>
      <c r="F414" s="221">
        <f t="shared" si="170"/>
        <v>0</v>
      </c>
      <c r="G414" s="221">
        <f t="shared" si="170"/>
        <v>0</v>
      </c>
      <c r="H414" s="221">
        <f t="shared" si="170"/>
        <v>0</v>
      </c>
      <c r="I414" s="600" t="e">
        <f t="shared" si="151"/>
        <v>#DIV/0!</v>
      </c>
      <c r="J414" s="600" t="e">
        <f t="shared" si="144"/>
        <v>#DIV/0!</v>
      </c>
    </row>
    <row r="415" spans="1:10" hidden="1" x14ac:dyDescent="0.25">
      <c r="A415" s="105"/>
      <c r="B415" s="22">
        <v>42</v>
      </c>
      <c r="C415" s="141"/>
      <c r="D415" s="142" t="s">
        <v>183</v>
      </c>
      <c r="E415" s="215">
        <f t="shared" si="170"/>
        <v>0</v>
      </c>
      <c r="F415" s="215">
        <f t="shared" si="170"/>
        <v>0</v>
      </c>
      <c r="G415" s="215">
        <f>G416</f>
        <v>0</v>
      </c>
      <c r="H415" s="215">
        <f>H416</f>
        <v>0</v>
      </c>
      <c r="I415" s="606" t="e">
        <f t="shared" si="151"/>
        <v>#DIV/0!</v>
      </c>
      <c r="J415" s="606" t="e">
        <f t="shared" si="144"/>
        <v>#DIV/0!</v>
      </c>
    </row>
    <row r="416" spans="1:10" hidden="1" x14ac:dyDescent="0.25">
      <c r="A416" s="105"/>
      <c r="B416" s="43">
        <v>422</v>
      </c>
      <c r="C416" s="105"/>
      <c r="D416" s="105" t="s">
        <v>184</v>
      </c>
      <c r="E416" s="217">
        <f>E417+E418</f>
        <v>0</v>
      </c>
      <c r="F416" s="217">
        <f>F417+F418</f>
        <v>0</v>
      </c>
      <c r="G416" s="217">
        <f>G417+G418</f>
        <v>0</v>
      </c>
      <c r="H416" s="217">
        <f>H417+H418</f>
        <v>0</v>
      </c>
      <c r="I416" s="602" t="e">
        <f t="shared" si="151"/>
        <v>#DIV/0!</v>
      </c>
      <c r="J416" s="602" t="e">
        <f t="shared" si="144"/>
        <v>#DIV/0!</v>
      </c>
    </row>
    <row r="417" spans="1:10" hidden="1" x14ac:dyDescent="0.25">
      <c r="A417" s="105"/>
      <c r="B417" s="149" t="s">
        <v>185</v>
      </c>
      <c r="C417" s="148"/>
      <c r="D417" s="148" t="s">
        <v>186</v>
      </c>
      <c r="E417" s="217"/>
      <c r="F417" s="217"/>
      <c r="G417" s="217"/>
      <c r="H417" s="217"/>
      <c r="I417" s="602" t="e">
        <f t="shared" si="151"/>
        <v>#DIV/0!</v>
      </c>
      <c r="J417" s="602" t="e">
        <f t="shared" si="144"/>
        <v>#DIV/0!</v>
      </c>
    </row>
    <row r="418" spans="1:10" hidden="1" x14ac:dyDescent="0.25">
      <c r="A418" s="105"/>
      <c r="B418" s="149" t="s">
        <v>229</v>
      </c>
      <c r="C418" s="148"/>
      <c r="D418" s="148" t="s">
        <v>190</v>
      </c>
      <c r="E418" s="217"/>
      <c r="F418" s="217"/>
      <c r="G418" s="217">
        <f>G419</f>
        <v>0</v>
      </c>
      <c r="H418" s="217">
        <f>H419</f>
        <v>0</v>
      </c>
      <c r="I418" s="602" t="e">
        <f t="shared" si="151"/>
        <v>#DIV/0!</v>
      </c>
      <c r="J418" s="602" t="e">
        <f t="shared" si="144"/>
        <v>#DIV/0!</v>
      </c>
    </row>
    <row r="419" spans="1:10" hidden="1" x14ac:dyDescent="0.25">
      <c r="A419" s="105"/>
      <c r="B419" s="48" t="s">
        <v>505</v>
      </c>
      <c r="C419" s="167"/>
      <c r="D419" s="167" t="s">
        <v>450</v>
      </c>
      <c r="E419" s="153"/>
      <c r="F419" s="153"/>
      <c r="G419" s="153">
        <v>0</v>
      </c>
      <c r="H419" s="153"/>
      <c r="I419" s="602" t="e">
        <f t="shared" ref="I419" si="171">H419/F419*100</f>
        <v>#DIV/0!</v>
      </c>
      <c r="J419" s="602" t="e">
        <f t="shared" ref="J419" si="172">H419/G419*100</f>
        <v>#DIV/0!</v>
      </c>
    </row>
    <row r="420" spans="1:10" x14ac:dyDescent="0.25">
      <c r="A420" s="187"/>
      <c r="B420" s="188"/>
      <c r="C420" s="208">
        <v>52</v>
      </c>
      <c r="D420" s="209" t="s">
        <v>224</v>
      </c>
      <c r="E420" s="210">
        <f>E353</f>
        <v>15742.82</v>
      </c>
      <c r="F420" s="210">
        <f>F353</f>
        <v>128013.94999999998</v>
      </c>
      <c r="G420" s="210">
        <f>G353+G414</f>
        <v>188013.95</v>
      </c>
      <c r="H420" s="210">
        <f>H353+H414</f>
        <v>26495.16</v>
      </c>
      <c r="I420" s="605">
        <f t="shared" si="151"/>
        <v>20.697088090790107</v>
      </c>
      <c r="J420" s="605">
        <f t="shared" si="144"/>
        <v>14.092124547141315</v>
      </c>
    </row>
    <row r="421" spans="1:10" hidden="1" x14ac:dyDescent="0.25">
      <c r="A421" s="137" t="s">
        <v>86</v>
      </c>
      <c r="B421" s="137"/>
      <c r="C421" s="138"/>
      <c r="D421" s="139" t="s">
        <v>87</v>
      </c>
      <c r="E421" s="140">
        <f>E422+E431</f>
        <v>0</v>
      </c>
      <c r="F421" s="140">
        <f>F422+F431</f>
        <v>0</v>
      </c>
      <c r="G421" s="140">
        <f>G422+G431</f>
        <v>0</v>
      </c>
      <c r="H421" s="140">
        <f t="shared" ref="H421" si="173">H422+H431</f>
        <v>0</v>
      </c>
      <c r="I421" s="600" t="e">
        <f t="shared" si="151"/>
        <v>#DIV/0!</v>
      </c>
      <c r="J421" s="600" t="e">
        <f t="shared" si="144"/>
        <v>#DIV/0!</v>
      </c>
    </row>
    <row r="422" spans="1:10" hidden="1" x14ac:dyDescent="0.25">
      <c r="A422" s="105"/>
      <c r="B422" s="22">
        <v>31</v>
      </c>
      <c r="C422" s="141"/>
      <c r="D422" s="142" t="s">
        <v>88</v>
      </c>
      <c r="E422" s="42">
        <f>E423+E426+E428</f>
        <v>0</v>
      </c>
      <c r="F422" s="42">
        <f>F423+F426+F428</f>
        <v>0</v>
      </c>
      <c r="G422" s="42">
        <f>G423+G426+G428</f>
        <v>0</v>
      </c>
      <c r="H422" s="42">
        <f t="shared" ref="H422" si="174">H423+H426+H428</f>
        <v>0</v>
      </c>
      <c r="I422" s="42" t="e">
        <f t="shared" si="151"/>
        <v>#DIV/0!</v>
      </c>
      <c r="J422" s="42" t="e">
        <f t="shared" si="144"/>
        <v>#DIV/0!</v>
      </c>
    </row>
    <row r="423" spans="1:10" hidden="1" x14ac:dyDescent="0.25">
      <c r="A423" s="105"/>
      <c r="B423" s="43">
        <v>311</v>
      </c>
      <c r="C423" s="143"/>
      <c r="D423" s="105" t="s">
        <v>89</v>
      </c>
      <c r="E423" s="46">
        <f>SUM(E424:E425)</f>
        <v>0</v>
      </c>
      <c r="F423" s="46">
        <f>SUM(F424:F425)</f>
        <v>0</v>
      </c>
      <c r="G423" s="46">
        <f>SUM(G424:G425)</f>
        <v>0</v>
      </c>
      <c r="H423" s="46">
        <f t="shared" ref="H423" si="175">SUM(H424:H425)</f>
        <v>0</v>
      </c>
      <c r="I423" s="602" t="e">
        <f t="shared" si="151"/>
        <v>#DIV/0!</v>
      </c>
      <c r="J423" s="602" t="e">
        <f t="shared" si="144"/>
        <v>#DIV/0!</v>
      </c>
    </row>
    <row r="424" spans="1:10" hidden="1" x14ac:dyDescent="0.25">
      <c r="A424" s="143"/>
      <c r="B424" s="144">
        <v>3111</v>
      </c>
      <c r="C424" s="143"/>
      <c r="D424" s="143" t="s">
        <v>90</v>
      </c>
      <c r="E424" s="145"/>
      <c r="F424" s="145"/>
      <c r="G424" s="145"/>
      <c r="H424" s="145"/>
      <c r="I424" s="602" t="e">
        <f t="shared" si="151"/>
        <v>#DIV/0!</v>
      </c>
      <c r="J424" s="602" t="e">
        <f t="shared" si="144"/>
        <v>#DIV/0!</v>
      </c>
    </row>
    <row r="425" spans="1:10" hidden="1" x14ac:dyDescent="0.25">
      <c r="A425" s="143"/>
      <c r="B425" s="144" t="s">
        <v>95</v>
      </c>
      <c r="C425" s="143"/>
      <c r="D425" s="143" t="s">
        <v>211</v>
      </c>
      <c r="E425" s="145"/>
      <c r="F425" s="145"/>
      <c r="G425" s="145"/>
      <c r="H425" s="145"/>
      <c r="I425" s="602" t="e">
        <f t="shared" si="151"/>
        <v>#DIV/0!</v>
      </c>
      <c r="J425" s="602" t="e">
        <f t="shared" si="144"/>
        <v>#DIV/0!</v>
      </c>
    </row>
    <row r="426" spans="1:10" hidden="1" x14ac:dyDescent="0.25">
      <c r="A426" s="148"/>
      <c r="B426" s="149" t="s">
        <v>97</v>
      </c>
      <c r="C426" s="148"/>
      <c r="D426" s="148" t="s">
        <v>98</v>
      </c>
      <c r="E426" s="93">
        <f>SUM(E427)</f>
        <v>0</v>
      </c>
      <c r="F426" s="93">
        <f>SUM(F427)</f>
        <v>0</v>
      </c>
      <c r="G426" s="93">
        <f>SUM(G427)</f>
        <v>0</v>
      </c>
      <c r="H426" s="93">
        <f t="shared" ref="H426" si="176">SUM(H427)</f>
        <v>0</v>
      </c>
      <c r="I426" s="602" t="e">
        <f t="shared" si="151"/>
        <v>#DIV/0!</v>
      </c>
      <c r="J426" s="602" t="e">
        <f t="shared" si="144"/>
        <v>#DIV/0!</v>
      </c>
    </row>
    <row r="427" spans="1:10" hidden="1" x14ac:dyDescent="0.25">
      <c r="A427" s="143"/>
      <c r="B427" s="144" t="s">
        <v>99</v>
      </c>
      <c r="C427" s="143"/>
      <c r="D427" s="143" t="s">
        <v>98</v>
      </c>
      <c r="E427" s="145"/>
      <c r="F427" s="145"/>
      <c r="G427" s="145"/>
      <c r="H427" s="145"/>
      <c r="I427" s="602" t="e">
        <f t="shared" si="151"/>
        <v>#DIV/0!</v>
      </c>
      <c r="J427" s="602" t="e">
        <f t="shared" si="144"/>
        <v>#DIV/0!</v>
      </c>
    </row>
    <row r="428" spans="1:10" hidden="1" x14ac:dyDescent="0.25">
      <c r="A428" s="105"/>
      <c r="B428" s="53">
        <v>313</v>
      </c>
      <c r="C428" s="105"/>
      <c r="D428" s="105" t="s">
        <v>100</v>
      </c>
      <c r="E428" s="152">
        <f>SUM(E429:E430)</f>
        <v>0</v>
      </c>
      <c r="F428" s="152">
        <f>SUM(F429:F430)</f>
        <v>0</v>
      </c>
      <c r="G428" s="152">
        <f>SUM(G429:G430)</f>
        <v>0</v>
      </c>
      <c r="H428" s="152">
        <f t="shared" ref="H428" si="177">SUM(H429:H430)</f>
        <v>0</v>
      </c>
      <c r="I428" s="602" t="e">
        <f t="shared" si="151"/>
        <v>#DIV/0!</v>
      </c>
      <c r="J428" s="602" t="e">
        <f t="shared" si="144"/>
        <v>#DIV/0!</v>
      </c>
    </row>
    <row r="429" spans="1:10" s="51" customFormat="1" hidden="1" x14ac:dyDescent="0.25">
      <c r="A429" s="167"/>
      <c r="B429" s="64" t="s">
        <v>225</v>
      </c>
      <c r="C429" s="167"/>
      <c r="D429" s="167" t="s">
        <v>226</v>
      </c>
      <c r="E429" s="218"/>
      <c r="F429" s="218"/>
      <c r="G429" s="218"/>
      <c r="H429" s="218"/>
      <c r="I429" s="602" t="e">
        <f t="shared" si="151"/>
        <v>#DIV/0!</v>
      </c>
      <c r="J429" s="602" t="e">
        <f t="shared" si="144"/>
        <v>#DIV/0!</v>
      </c>
    </row>
    <row r="430" spans="1:10" hidden="1" x14ac:dyDescent="0.25">
      <c r="A430" s="143"/>
      <c r="B430" s="57">
        <v>3132</v>
      </c>
      <c r="C430" s="143"/>
      <c r="D430" s="143" t="s">
        <v>101</v>
      </c>
      <c r="E430" s="218"/>
      <c r="F430" s="218"/>
      <c r="G430" s="218"/>
      <c r="H430" s="218"/>
      <c r="I430" s="602" t="e">
        <f t="shared" si="151"/>
        <v>#DIV/0!</v>
      </c>
      <c r="J430" s="602" t="e">
        <f t="shared" si="144"/>
        <v>#DIV/0!</v>
      </c>
    </row>
    <row r="431" spans="1:10" hidden="1" x14ac:dyDescent="0.25">
      <c r="A431" s="105"/>
      <c r="B431" s="22">
        <v>32</v>
      </c>
      <c r="C431" s="141"/>
      <c r="D431" s="142" t="s">
        <v>102</v>
      </c>
      <c r="E431" s="42">
        <f>E432+E436+E438</f>
        <v>0</v>
      </c>
      <c r="F431" s="42">
        <f>F432+F436+F438</f>
        <v>0</v>
      </c>
      <c r="G431" s="42">
        <f>G432+G436+G438</f>
        <v>0</v>
      </c>
      <c r="H431" s="42">
        <f t="shared" ref="H431" si="178">H432+H436+H438</f>
        <v>0</v>
      </c>
      <c r="I431" s="42" t="e">
        <f t="shared" si="151"/>
        <v>#DIV/0!</v>
      </c>
      <c r="J431" s="42" t="e">
        <f t="shared" si="144"/>
        <v>#DIV/0!</v>
      </c>
    </row>
    <row r="432" spans="1:10" hidden="1" x14ac:dyDescent="0.25">
      <c r="A432" s="105"/>
      <c r="B432" s="43">
        <v>321</v>
      </c>
      <c r="C432" s="105"/>
      <c r="D432" s="105" t="s">
        <v>103</v>
      </c>
      <c r="E432" s="46">
        <f>SUM(E433:E434)</f>
        <v>0</v>
      </c>
      <c r="F432" s="46">
        <f>SUM(F433:F434)</f>
        <v>0</v>
      </c>
      <c r="G432" s="46">
        <f>SUM(G433:G434)</f>
        <v>0</v>
      </c>
      <c r="H432" s="46">
        <f t="shared" ref="H432" si="179">SUM(H433:H434)</f>
        <v>0</v>
      </c>
      <c r="I432" s="602" t="e">
        <f t="shared" si="151"/>
        <v>#DIV/0!</v>
      </c>
      <c r="J432" s="602" t="e">
        <f t="shared" si="144"/>
        <v>#DIV/0!</v>
      </c>
    </row>
    <row r="433" spans="1:10" hidden="1" x14ac:dyDescent="0.25">
      <c r="A433" s="143"/>
      <c r="B433" s="144" t="s">
        <v>104</v>
      </c>
      <c r="C433" s="143"/>
      <c r="D433" s="143" t="s">
        <v>105</v>
      </c>
      <c r="E433" s="145"/>
      <c r="F433" s="145"/>
      <c r="G433" s="145"/>
      <c r="H433" s="145"/>
      <c r="I433" s="602" t="e">
        <f t="shared" si="151"/>
        <v>#DIV/0!</v>
      </c>
      <c r="J433" s="602" t="e">
        <f t="shared" si="144"/>
        <v>#DIV/0!</v>
      </c>
    </row>
    <row r="434" spans="1:10" hidden="1" x14ac:dyDescent="0.25">
      <c r="A434" s="143"/>
      <c r="B434" s="144" t="s">
        <v>106</v>
      </c>
      <c r="C434" s="143"/>
      <c r="D434" s="156" t="s">
        <v>107</v>
      </c>
      <c r="E434" s="145"/>
      <c r="F434" s="145"/>
      <c r="G434" s="145"/>
      <c r="H434" s="145"/>
      <c r="I434" s="602" t="e">
        <f t="shared" si="151"/>
        <v>#DIV/0!</v>
      </c>
      <c r="J434" s="602" t="e">
        <f t="shared" si="144"/>
        <v>#DIV/0!</v>
      </c>
    </row>
    <row r="435" spans="1:10" hidden="1" x14ac:dyDescent="0.25">
      <c r="A435" s="143"/>
      <c r="B435" s="144" t="s">
        <v>108</v>
      </c>
      <c r="C435" s="143"/>
      <c r="D435" s="156" t="s">
        <v>109</v>
      </c>
      <c r="E435" s="145"/>
      <c r="F435" s="145"/>
      <c r="G435" s="145"/>
      <c r="H435" s="145"/>
      <c r="I435" s="602" t="e">
        <f t="shared" si="151"/>
        <v>#DIV/0!</v>
      </c>
      <c r="J435" s="602" t="e">
        <f t="shared" si="144"/>
        <v>#DIV/0!</v>
      </c>
    </row>
    <row r="436" spans="1:10" hidden="1" x14ac:dyDescent="0.25">
      <c r="A436" s="148"/>
      <c r="B436" s="149" t="s">
        <v>112</v>
      </c>
      <c r="C436" s="148"/>
      <c r="D436" s="158" t="s">
        <v>113</v>
      </c>
      <c r="E436" s="93">
        <f>SUM(E437:E437)</f>
        <v>0</v>
      </c>
      <c r="F436" s="93">
        <f>SUM(F437:F437)</f>
        <v>0</v>
      </c>
      <c r="G436" s="93">
        <f>SUM(G437:G437)</f>
        <v>0</v>
      </c>
      <c r="H436" s="93">
        <f t="shared" ref="H436" si="180">SUM(H437:H437)</f>
        <v>0</v>
      </c>
      <c r="I436" s="602" t="e">
        <f t="shared" si="151"/>
        <v>#DIV/0!</v>
      </c>
      <c r="J436" s="602" t="e">
        <f t="shared" si="144"/>
        <v>#DIV/0!</v>
      </c>
    </row>
    <row r="437" spans="1:10" hidden="1" x14ac:dyDescent="0.25">
      <c r="A437" s="148"/>
      <c r="B437" s="48" t="s">
        <v>118</v>
      </c>
      <c r="C437" s="148"/>
      <c r="D437" s="143" t="s">
        <v>119</v>
      </c>
      <c r="E437" s="50"/>
      <c r="F437" s="50"/>
      <c r="G437" s="50"/>
      <c r="H437" s="50"/>
      <c r="I437" s="602" t="e">
        <f t="shared" si="151"/>
        <v>#DIV/0!</v>
      </c>
      <c r="J437" s="602" t="e">
        <f t="shared" si="144"/>
        <v>#DIV/0!</v>
      </c>
    </row>
    <row r="438" spans="1:10" hidden="1" x14ac:dyDescent="0.25">
      <c r="A438" s="148"/>
      <c r="B438" s="149" t="s">
        <v>126</v>
      </c>
      <c r="C438" s="148"/>
      <c r="D438" s="158" t="s">
        <v>127</v>
      </c>
      <c r="E438" s="93">
        <f>SUM(E440:E440)</f>
        <v>0</v>
      </c>
      <c r="F438" s="93">
        <f>SUM(F440:F440)</f>
        <v>0</v>
      </c>
      <c r="G438" s="93">
        <f>SUM(G440:G440)</f>
        <v>0</v>
      </c>
      <c r="H438" s="93">
        <f t="shared" ref="H438" si="181">SUM(H440:H440)</f>
        <v>0</v>
      </c>
      <c r="I438" s="602" t="e">
        <f t="shared" si="151"/>
        <v>#DIV/0!</v>
      </c>
      <c r="J438" s="602" t="e">
        <f t="shared" si="144"/>
        <v>#DIV/0!</v>
      </c>
    </row>
    <row r="439" spans="1:10" s="51" customFormat="1" hidden="1" x14ac:dyDescent="0.25">
      <c r="A439" s="167"/>
      <c r="B439" s="48" t="s">
        <v>128</v>
      </c>
      <c r="C439" s="167"/>
      <c r="D439" s="406" t="s">
        <v>129</v>
      </c>
      <c r="E439" s="145"/>
      <c r="F439" s="145"/>
      <c r="G439" s="145"/>
      <c r="H439" s="145"/>
      <c r="I439" s="602" t="e">
        <f t="shared" si="151"/>
        <v>#DIV/0!</v>
      </c>
      <c r="J439" s="602" t="e">
        <f t="shared" ref="J439:J496" si="182">H439/G439*100</f>
        <v>#DIV/0!</v>
      </c>
    </row>
    <row r="440" spans="1:10" hidden="1" x14ac:dyDescent="0.25">
      <c r="A440" s="148"/>
      <c r="B440" s="48" t="s">
        <v>132</v>
      </c>
      <c r="C440" s="148"/>
      <c r="D440" s="156" t="s">
        <v>133</v>
      </c>
      <c r="E440" s="145"/>
      <c r="F440" s="145"/>
      <c r="G440" s="145"/>
      <c r="H440" s="145"/>
      <c r="I440" s="602" t="e">
        <f t="shared" si="151"/>
        <v>#DIV/0!</v>
      </c>
      <c r="J440" s="602" t="e">
        <f t="shared" si="182"/>
        <v>#DIV/0!</v>
      </c>
    </row>
    <row r="441" spans="1:10" hidden="1" x14ac:dyDescent="0.25">
      <c r="A441" s="175">
        <v>4</v>
      </c>
      <c r="B441" s="176"/>
      <c r="C441" s="177"/>
      <c r="D441" s="178" t="s">
        <v>174</v>
      </c>
      <c r="E441" s="119">
        <f t="shared" ref="E441:H443" si="183">E442</f>
        <v>0</v>
      </c>
      <c r="F441" s="119">
        <f t="shared" si="183"/>
        <v>0</v>
      </c>
      <c r="G441" s="119">
        <f t="shared" si="183"/>
        <v>0</v>
      </c>
      <c r="H441" s="119">
        <f t="shared" si="183"/>
        <v>0</v>
      </c>
      <c r="I441" s="600" t="e">
        <f t="shared" si="151"/>
        <v>#DIV/0!</v>
      </c>
      <c r="J441" s="600" t="e">
        <f t="shared" si="182"/>
        <v>#DIV/0!</v>
      </c>
    </row>
    <row r="442" spans="1:10" hidden="1" x14ac:dyDescent="0.25">
      <c r="A442" s="148"/>
      <c r="B442" s="87" t="s">
        <v>196</v>
      </c>
      <c r="C442" s="223"/>
      <c r="D442" s="224" t="s">
        <v>197</v>
      </c>
      <c r="E442" s="92">
        <f t="shared" si="183"/>
        <v>0</v>
      </c>
      <c r="F442" s="92">
        <f t="shared" si="183"/>
        <v>0</v>
      </c>
      <c r="G442" s="92">
        <f t="shared" si="183"/>
        <v>0</v>
      </c>
      <c r="H442" s="92">
        <f t="shared" si="183"/>
        <v>0</v>
      </c>
      <c r="I442" s="42" t="e">
        <f t="shared" si="151"/>
        <v>#DIV/0!</v>
      </c>
      <c r="J442" s="42" t="e">
        <f t="shared" si="182"/>
        <v>#DIV/0!</v>
      </c>
    </row>
    <row r="443" spans="1:10" hidden="1" x14ac:dyDescent="0.25">
      <c r="A443" s="148"/>
      <c r="B443" s="149" t="s">
        <v>198</v>
      </c>
      <c r="C443" s="148"/>
      <c r="D443" s="148" t="s">
        <v>199</v>
      </c>
      <c r="E443" s="93">
        <f t="shared" si="183"/>
        <v>0</v>
      </c>
      <c r="F443" s="93">
        <f t="shared" si="183"/>
        <v>0</v>
      </c>
      <c r="G443" s="93">
        <f t="shared" si="183"/>
        <v>0</v>
      </c>
      <c r="H443" s="93">
        <f t="shared" si="183"/>
        <v>0</v>
      </c>
      <c r="I443" s="602" t="e">
        <f t="shared" si="151"/>
        <v>#DIV/0!</v>
      </c>
      <c r="J443" s="602" t="e">
        <f t="shared" si="182"/>
        <v>#DIV/0!</v>
      </c>
    </row>
    <row r="444" spans="1:10" hidden="1" x14ac:dyDescent="0.25">
      <c r="A444" s="148"/>
      <c r="B444" s="48" t="s">
        <v>200</v>
      </c>
      <c r="C444" s="167"/>
      <c r="D444" s="167" t="s">
        <v>199</v>
      </c>
      <c r="E444" s="50"/>
      <c r="F444" s="50"/>
      <c r="G444" s="50"/>
      <c r="H444" s="50"/>
      <c r="I444" s="602" t="e">
        <f t="shared" si="151"/>
        <v>#DIV/0!</v>
      </c>
      <c r="J444" s="602" t="e">
        <f t="shared" si="182"/>
        <v>#DIV/0!</v>
      </c>
    </row>
    <row r="445" spans="1:10" hidden="1" x14ac:dyDescent="0.25">
      <c r="A445" s="187"/>
      <c r="B445" s="188"/>
      <c r="C445" s="208">
        <v>52</v>
      </c>
      <c r="D445" s="209" t="s">
        <v>227</v>
      </c>
      <c r="E445" s="210">
        <f>E421+E441</f>
        <v>0</v>
      </c>
      <c r="F445" s="210">
        <f>F421+F441</f>
        <v>0</v>
      </c>
      <c r="G445" s="210">
        <f>G421+G441</f>
        <v>0</v>
      </c>
      <c r="H445" s="210">
        <f t="shared" ref="H445" si="184">H421+H441</f>
        <v>0</v>
      </c>
      <c r="I445" s="210" t="e">
        <f t="shared" si="151"/>
        <v>#DIV/0!</v>
      </c>
      <c r="J445" s="210" t="e">
        <f t="shared" si="182"/>
        <v>#DIV/0!</v>
      </c>
    </row>
    <row r="446" spans="1:10" x14ac:dyDescent="0.25">
      <c r="A446" s="137" t="s">
        <v>86</v>
      </c>
      <c r="B446" s="137"/>
      <c r="C446" s="138"/>
      <c r="D446" s="139" t="s">
        <v>87</v>
      </c>
      <c r="E446" s="225">
        <f>E447</f>
        <v>3807.25</v>
      </c>
      <c r="F446" s="225">
        <f>F447</f>
        <v>20810</v>
      </c>
      <c r="G446" s="225">
        <f>G447</f>
        <v>20810</v>
      </c>
      <c r="H446" s="225">
        <f>H447</f>
        <v>0</v>
      </c>
      <c r="I446" s="600">
        <f t="shared" si="151"/>
        <v>0</v>
      </c>
      <c r="J446" s="600">
        <f t="shared" si="182"/>
        <v>0</v>
      </c>
    </row>
    <row r="447" spans="1:10" x14ac:dyDescent="0.25">
      <c r="A447" s="105"/>
      <c r="B447" s="22">
        <v>32</v>
      </c>
      <c r="C447" s="141"/>
      <c r="D447" s="142" t="s">
        <v>102</v>
      </c>
      <c r="E447" s="226">
        <f>E448+E453+E456</f>
        <v>3807.25</v>
      </c>
      <c r="F447" s="226">
        <f>F448+F453+F456</f>
        <v>20810</v>
      </c>
      <c r="G447" s="226">
        <f>G448+G453+G456</f>
        <v>20810</v>
      </c>
      <c r="H447" s="226">
        <f>H448+H453+H456</f>
        <v>0</v>
      </c>
      <c r="I447" s="606">
        <f t="shared" si="151"/>
        <v>0</v>
      </c>
      <c r="J447" s="606">
        <f t="shared" si="182"/>
        <v>0</v>
      </c>
    </row>
    <row r="448" spans="1:10" x14ac:dyDescent="0.25">
      <c r="A448" s="105"/>
      <c r="B448" s="43">
        <v>321</v>
      </c>
      <c r="C448" s="105"/>
      <c r="D448" s="105" t="s">
        <v>103</v>
      </c>
      <c r="E448" s="46">
        <f>E449+E452</f>
        <v>3807.25</v>
      </c>
      <c r="F448" s="46">
        <f>F449+F452</f>
        <v>1000</v>
      </c>
      <c r="G448" s="46">
        <f>G449+G452</f>
        <v>1000</v>
      </c>
      <c r="H448" s="46">
        <f>H449+H452</f>
        <v>0</v>
      </c>
      <c r="I448" s="602">
        <f t="shared" si="151"/>
        <v>0</v>
      </c>
      <c r="J448" s="602">
        <f t="shared" si="182"/>
        <v>0</v>
      </c>
    </row>
    <row r="449" spans="1:10" x14ac:dyDescent="0.25">
      <c r="A449" s="105"/>
      <c r="B449" s="48" t="s">
        <v>104</v>
      </c>
      <c r="C449" s="167"/>
      <c r="D449" s="167" t="s">
        <v>105</v>
      </c>
      <c r="E449" s="46">
        <f>SUM(E450:E451)</f>
        <v>3807.25</v>
      </c>
      <c r="F449" s="46">
        <f>SUM(F450:F451)</f>
        <v>1000</v>
      </c>
      <c r="G449" s="46">
        <f>SUM(G450:G451)</f>
        <v>1000</v>
      </c>
      <c r="H449" s="46">
        <f>SUM(H450:H451)</f>
        <v>0</v>
      </c>
      <c r="I449" s="602">
        <f t="shared" ref="I449:I496" si="185">H449/F449*100</f>
        <v>0</v>
      </c>
      <c r="J449" s="602">
        <f t="shared" si="182"/>
        <v>0</v>
      </c>
    </row>
    <row r="450" spans="1:10" x14ac:dyDescent="0.25">
      <c r="A450" s="105"/>
      <c r="B450" s="48" t="s">
        <v>508</v>
      </c>
      <c r="C450" s="167"/>
      <c r="D450" s="167" t="s">
        <v>388</v>
      </c>
      <c r="E450" s="50">
        <f>'Rekapitulacija Posebni dio'!C365</f>
        <v>2814.35</v>
      </c>
      <c r="F450" s="50">
        <f>'Rekapitulacija Posebni dio'!D365</f>
        <v>500</v>
      </c>
      <c r="G450" s="50">
        <f>'Rekapitulacija Posebni dio'!E365</f>
        <v>500</v>
      </c>
      <c r="H450" s="50">
        <f>'Rekapitulacija Posebni dio'!F365</f>
        <v>0</v>
      </c>
      <c r="I450" s="602"/>
      <c r="J450" s="602">
        <f t="shared" si="182"/>
        <v>0</v>
      </c>
    </row>
    <row r="451" spans="1:10" s="51" customFormat="1" x14ac:dyDescent="0.25">
      <c r="A451" s="167"/>
      <c r="B451" s="48" t="s">
        <v>497</v>
      </c>
      <c r="C451" s="167"/>
      <c r="D451" s="167" t="s">
        <v>391</v>
      </c>
      <c r="E451" s="50">
        <f>'Rekapitulacija Posebni dio'!C366</f>
        <v>992.9</v>
      </c>
      <c r="F451" s="50">
        <f>'Rekapitulacija Posebni dio'!D366</f>
        <v>500</v>
      </c>
      <c r="G451" s="50">
        <f>'Rekapitulacija Posebni dio'!E366</f>
        <v>500</v>
      </c>
      <c r="H451" s="50">
        <f>'Rekapitulacija Posebni dio'!F366</f>
        <v>0</v>
      </c>
      <c r="I451" s="602">
        <f t="shared" si="185"/>
        <v>0</v>
      </c>
      <c r="J451" s="602">
        <f t="shared" si="182"/>
        <v>0</v>
      </c>
    </row>
    <row r="452" spans="1:10" hidden="1" x14ac:dyDescent="0.25">
      <c r="A452" s="167"/>
      <c r="B452" s="149" t="s">
        <v>108</v>
      </c>
      <c r="C452" s="148"/>
      <c r="D452" s="148" t="s">
        <v>109</v>
      </c>
      <c r="E452" s="93"/>
      <c r="F452" s="93"/>
      <c r="G452" s="93"/>
      <c r="H452" s="93"/>
      <c r="I452" s="602" t="e">
        <f t="shared" si="185"/>
        <v>#DIV/0!</v>
      </c>
      <c r="J452" s="602" t="e">
        <f t="shared" si="182"/>
        <v>#DIV/0!</v>
      </c>
    </row>
    <row r="453" spans="1:10" s="67" customFormat="1" x14ac:dyDescent="0.25">
      <c r="A453" s="148"/>
      <c r="B453" s="149" t="s">
        <v>112</v>
      </c>
      <c r="C453" s="148"/>
      <c r="D453" s="148" t="s">
        <v>113</v>
      </c>
      <c r="E453" s="93">
        <f>E454</f>
        <v>0</v>
      </c>
      <c r="F453" s="93">
        <f>F454</f>
        <v>9950</v>
      </c>
      <c r="G453" s="93">
        <f t="shared" ref="G453:H454" si="186">G454</f>
        <v>9950</v>
      </c>
      <c r="H453" s="93">
        <f t="shared" si="186"/>
        <v>0</v>
      </c>
      <c r="I453" s="602">
        <f t="shared" si="185"/>
        <v>0</v>
      </c>
      <c r="J453" s="602">
        <f t="shared" si="182"/>
        <v>0</v>
      </c>
    </row>
    <row r="454" spans="1:10" x14ac:dyDescent="0.25">
      <c r="A454" s="167"/>
      <c r="B454" s="237" t="s">
        <v>120</v>
      </c>
      <c r="C454" s="238"/>
      <c r="D454" s="239" t="s">
        <v>121</v>
      </c>
      <c r="E454" s="93">
        <f>E455</f>
        <v>0</v>
      </c>
      <c r="F454" s="93">
        <f>F455</f>
        <v>9950</v>
      </c>
      <c r="G454" s="93">
        <f t="shared" si="186"/>
        <v>9950</v>
      </c>
      <c r="H454" s="93">
        <f t="shared" si="186"/>
        <v>0</v>
      </c>
      <c r="I454" s="602">
        <f t="shared" si="185"/>
        <v>0</v>
      </c>
      <c r="J454" s="602">
        <f t="shared" si="182"/>
        <v>0</v>
      </c>
    </row>
    <row r="455" spans="1:10" x14ac:dyDescent="0.25">
      <c r="A455" s="167"/>
      <c r="B455" s="241" t="s">
        <v>524</v>
      </c>
      <c r="C455" s="242"/>
      <c r="D455" s="243" t="s">
        <v>537</v>
      </c>
      <c r="E455" s="50">
        <f>'Rekapitulacija Posebni dio'!C659</f>
        <v>0</v>
      </c>
      <c r="F455" s="50">
        <f>'Rekapitulacija Posebni dio'!D659</f>
        <v>9950</v>
      </c>
      <c r="G455" s="50">
        <f>'Rekapitulacija Posebni dio'!E659</f>
        <v>9950</v>
      </c>
      <c r="H455" s="50">
        <f>'Rekapitulacija Posebni dio'!F659</f>
        <v>0</v>
      </c>
      <c r="I455" s="602">
        <f t="shared" ref="I455:I458" si="187">H455/F455*100</f>
        <v>0</v>
      </c>
      <c r="J455" s="602">
        <f t="shared" ref="J455:J458" si="188">H455/G455*100</f>
        <v>0</v>
      </c>
    </row>
    <row r="456" spans="1:10" x14ac:dyDescent="0.25">
      <c r="A456" s="167"/>
      <c r="B456" s="26" t="s">
        <v>126</v>
      </c>
      <c r="C456" s="534"/>
      <c r="D456" s="173" t="s">
        <v>127</v>
      </c>
      <c r="E456" s="93">
        <f>E457</f>
        <v>0</v>
      </c>
      <c r="F456" s="93">
        <f>F457</f>
        <v>9860</v>
      </c>
      <c r="G456" s="93">
        <f t="shared" ref="G456:H457" si="189">G457</f>
        <v>9860</v>
      </c>
      <c r="H456" s="93">
        <f t="shared" si="189"/>
        <v>0</v>
      </c>
      <c r="I456" s="602">
        <f t="shared" si="187"/>
        <v>0</v>
      </c>
      <c r="J456" s="602">
        <f t="shared" si="188"/>
        <v>0</v>
      </c>
    </row>
    <row r="457" spans="1:10" x14ac:dyDescent="0.25">
      <c r="A457" s="167"/>
      <c r="B457" s="518" t="s">
        <v>130</v>
      </c>
      <c r="C457" s="805"/>
      <c r="D457" s="207" t="s">
        <v>131</v>
      </c>
      <c r="E457" s="93">
        <f>E458</f>
        <v>0</v>
      </c>
      <c r="F457" s="93">
        <f>F458</f>
        <v>9860</v>
      </c>
      <c r="G457" s="93">
        <f t="shared" si="189"/>
        <v>9860</v>
      </c>
      <c r="H457" s="93">
        <f t="shared" si="189"/>
        <v>0</v>
      </c>
      <c r="I457" s="602">
        <f t="shared" si="187"/>
        <v>0</v>
      </c>
      <c r="J457" s="602">
        <f t="shared" si="188"/>
        <v>0</v>
      </c>
    </row>
    <row r="458" spans="1:10" x14ac:dyDescent="0.25">
      <c r="A458" s="167"/>
      <c r="B458" s="535" t="s">
        <v>512</v>
      </c>
      <c r="C458" s="534"/>
      <c r="D458" s="174" t="s">
        <v>414</v>
      </c>
      <c r="E458" s="50">
        <f>'Rekapitulacija Posebni dio'!C662</f>
        <v>0</v>
      </c>
      <c r="F458" s="50">
        <f>'Rekapitulacija Posebni dio'!D662</f>
        <v>9860</v>
      </c>
      <c r="G458" s="50">
        <f>'Rekapitulacija Posebni dio'!E662</f>
        <v>9860</v>
      </c>
      <c r="H458" s="50">
        <f>'Rekapitulacija Posebni dio'!F662</f>
        <v>0</v>
      </c>
      <c r="I458" s="602">
        <f t="shared" si="187"/>
        <v>0</v>
      </c>
      <c r="J458" s="602">
        <f t="shared" si="188"/>
        <v>0</v>
      </c>
    </row>
    <row r="459" spans="1:10" x14ac:dyDescent="0.25">
      <c r="A459" s="227">
        <v>4</v>
      </c>
      <c r="B459" s="228"/>
      <c r="C459" s="229"/>
      <c r="D459" s="178" t="s">
        <v>174</v>
      </c>
      <c r="E459" s="119">
        <f>E460+E466</f>
        <v>0</v>
      </c>
      <c r="F459" s="119">
        <f>F460+F466</f>
        <v>29690</v>
      </c>
      <c r="G459" s="119">
        <f t="shared" ref="G459:H459" si="190">G460+G466</f>
        <v>29690</v>
      </c>
      <c r="H459" s="119">
        <f t="shared" si="190"/>
        <v>0</v>
      </c>
      <c r="I459" s="600">
        <f t="shared" si="185"/>
        <v>0</v>
      </c>
      <c r="J459" s="600">
        <f t="shared" si="182"/>
        <v>0</v>
      </c>
    </row>
    <row r="460" spans="1:10" hidden="1" x14ac:dyDescent="0.25">
      <c r="A460" s="230"/>
      <c r="B460" s="22">
        <v>42</v>
      </c>
      <c r="C460" s="141"/>
      <c r="D460" s="142" t="s">
        <v>183</v>
      </c>
      <c r="E460" s="226">
        <f t="shared" ref="E460:H460" si="191">E461</f>
        <v>0</v>
      </c>
      <c r="F460" s="226">
        <f t="shared" si="191"/>
        <v>0</v>
      </c>
      <c r="G460" s="226">
        <f t="shared" si="191"/>
        <v>0</v>
      </c>
      <c r="H460" s="226">
        <f t="shared" si="191"/>
        <v>0</v>
      </c>
      <c r="I460" s="606" t="e">
        <f t="shared" si="185"/>
        <v>#DIV/0!</v>
      </c>
      <c r="J460" s="606" t="e">
        <f t="shared" si="182"/>
        <v>#DIV/0!</v>
      </c>
    </row>
    <row r="461" spans="1:10" hidden="1" x14ac:dyDescent="0.25">
      <c r="A461" s="231"/>
      <c r="B461" s="43">
        <v>422</v>
      </c>
      <c r="C461" s="105"/>
      <c r="D461" s="105" t="s">
        <v>184</v>
      </c>
      <c r="E461" s="56">
        <f>SUM(E462:E464)</f>
        <v>0</v>
      </c>
      <c r="F461" s="56">
        <f>SUM(F462:F464)</f>
        <v>0</v>
      </c>
      <c r="G461" s="56">
        <f>SUM(G462:G464)</f>
        <v>0</v>
      </c>
      <c r="H461" s="56">
        <f t="shared" ref="H461" si="192">SUM(H462:H464)</f>
        <v>0</v>
      </c>
      <c r="I461" s="602" t="e">
        <f t="shared" si="185"/>
        <v>#DIV/0!</v>
      </c>
      <c r="J461" s="602" t="e">
        <f t="shared" si="182"/>
        <v>#DIV/0!</v>
      </c>
    </row>
    <row r="462" spans="1:10" s="51" customFormat="1" hidden="1" x14ac:dyDescent="0.25">
      <c r="A462" s="232"/>
      <c r="B462" s="48" t="s">
        <v>185</v>
      </c>
      <c r="C462" s="167"/>
      <c r="D462" s="167" t="s">
        <v>186</v>
      </c>
      <c r="E462" s="66"/>
      <c r="F462" s="66"/>
      <c r="G462" s="66"/>
      <c r="H462" s="66"/>
      <c r="I462" s="602" t="e">
        <f t="shared" si="185"/>
        <v>#DIV/0!</v>
      </c>
      <c r="J462" s="602" t="e">
        <f t="shared" si="182"/>
        <v>#DIV/0!</v>
      </c>
    </row>
    <row r="463" spans="1:10" s="51" customFormat="1" hidden="1" x14ac:dyDescent="0.25">
      <c r="A463" s="232"/>
      <c r="B463" s="48" t="s">
        <v>228</v>
      </c>
      <c r="C463" s="167"/>
      <c r="D463" s="167" t="s">
        <v>189</v>
      </c>
      <c r="E463" s="66"/>
      <c r="F463" s="66"/>
      <c r="G463" s="66"/>
      <c r="H463" s="66"/>
      <c r="I463" s="602" t="e">
        <f t="shared" si="185"/>
        <v>#DIV/0!</v>
      </c>
      <c r="J463" s="602" t="e">
        <f t="shared" si="182"/>
        <v>#DIV/0!</v>
      </c>
    </row>
    <row r="464" spans="1:10" hidden="1" x14ac:dyDescent="0.25">
      <c r="A464" s="231"/>
      <c r="B464" s="144" t="s">
        <v>229</v>
      </c>
      <c r="C464" s="143"/>
      <c r="D464" s="143" t="s">
        <v>190</v>
      </c>
      <c r="E464" s="66"/>
      <c r="F464" s="66"/>
      <c r="G464" s="66"/>
      <c r="H464" s="66"/>
      <c r="I464" s="602" t="e">
        <f t="shared" si="185"/>
        <v>#DIV/0!</v>
      </c>
      <c r="J464" s="602" t="e">
        <f t="shared" si="182"/>
        <v>#DIV/0!</v>
      </c>
    </row>
    <row r="465" spans="1:10" hidden="1" x14ac:dyDescent="0.25">
      <c r="A465" s="231"/>
      <c r="B465" s="144" t="s">
        <v>230</v>
      </c>
      <c r="C465" s="143"/>
      <c r="D465" s="143" t="s">
        <v>191</v>
      </c>
      <c r="E465" s="66"/>
      <c r="F465" s="66"/>
      <c r="G465" s="66"/>
      <c r="H465" s="66"/>
      <c r="I465" s="602" t="e">
        <f t="shared" si="185"/>
        <v>#DIV/0!</v>
      </c>
      <c r="J465" s="602" t="e">
        <f t="shared" si="182"/>
        <v>#DIV/0!</v>
      </c>
    </row>
    <row r="466" spans="1:10" x14ac:dyDescent="0.25">
      <c r="A466" s="231"/>
      <c r="B466" s="22" t="s">
        <v>196</v>
      </c>
      <c r="C466" s="141"/>
      <c r="D466" s="179" t="s">
        <v>197</v>
      </c>
      <c r="E466" s="25">
        <f t="shared" ref="E466:F468" si="193">E467</f>
        <v>0</v>
      </c>
      <c r="F466" s="25">
        <f t="shared" si="193"/>
        <v>29690</v>
      </c>
      <c r="G466" s="25">
        <f t="shared" ref="G466:H468" si="194">G467</f>
        <v>29690</v>
      </c>
      <c r="H466" s="25">
        <f t="shared" si="194"/>
        <v>0</v>
      </c>
      <c r="I466" s="807">
        <f t="shared" ref="I466:I469" si="195">H466/F466*100</f>
        <v>0</v>
      </c>
      <c r="J466" s="807">
        <f t="shared" ref="J466:J469" si="196">H466/G466*100</f>
        <v>0</v>
      </c>
    </row>
    <row r="467" spans="1:10" x14ac:dyDescent="0.25">
      <c r="A467" s="231"/>
      <c r="B467" s="43" t="s">
        <v>198</v>
      </c>
      <c r="C467" s="143"/>
      <c r="D467" s="105" t="s">
        <v>199</v>
      </c>
      <c r="E467" s="63">
        <f t="shared" si="193"/>
        <v>0</v>
      </c>
      <c r="F467" s="63">
        <f t="shared" si="193"/>
        <v>29690</v>
      </c>
      <c r="G467" s="63">
        <f t="shared" si="194"/>
        <v>29690</v>
      </c>
      <c r="H467" s="63">
        <f t="shared" si="194"/>
        <v>0</v>
      </c>
      <c r="I467" s="602">
        <f t="shared" si="195"/>
        <v>0</v>
      </c>
      <c r="J467" s="602">
        <f t="shared" si="196"/>
        <v>0</v>
      </c>
    </row>
    <row r="468" spans="1:10" x14ac:dyDescent="0.25">
      <c r="A468" s="231"/>
      <c r="B468" s="48" t="s">
        <v>200</v>
      </c>
      <c r="C468" s="167"/>
      <c r="D468" s="167" t="s">
        <v>199</v>
      </c>
      <c r="E468" s="66">
        <f t="shared" si="193"/>
        <v>0</v>
      </c>
      <c r="F468" s="66">
        <f t="shared" si="193"/>
        <v>29690</v>
      </c>
      <c r="G468" s="66">
        <f t="shared" si="194"/>
        <v>29690</v>
      </c>
      <c r="H468" s="66">
        <f t="shared" si="194"/>
        <v>0</v>
      </c>
      <c r="I468" s="602">
        <f t="shared" si="195"/>
        <v>0</v>
      </c>
      <c r="J468" s="602">
        <f t="shared" si="196"/>
        <v>0</v>
      </c>
    </row>
    <row r="469" spans="1:10" x14ac:dyDescent="0.25">
      <c r="A469" s="231"/>
      <c r="B469" s="48" t="s">
        <v>496</v>
      </c>
      <c r="C469" s="167"/>
      <c r="D469" s="167" t="s">
        <v>199</v>
      </c>
      <c r="E469" s="66">
        <f>'Rekapitulacija Posebni dio'!C667</f>
        <v>0</v>
      </c>
      <c r="F469" s="66">
        <f>'Rekapitulacija Posebni dio'!D667</f>
        <v>29690</v>
      </c>
      <c r="G469" s="66">
        <f>'Rekapitulacija Posebni dio'!E667</f>
        <v>29690</v>
      </c>
      <c r="H469" s="66">
        <f>'Rekapitulacija Posebni dio'!F667</f>
        <v>0</v>
      </c>
      <c r="I469" s="602">
        <f t="shared" si="195"/>
        <v>0</v>
      </c>
      <c r="J469" s="602">
        <f t="shared" si="196"/>
        <v>0</v>
      </c>
    </row>
    <row r="470" spans="1:10" x14ac:dyDescent="0.25">
      <c r="A470" s="233"/>
      <c r="B470" s="234"/>
      <c r="C470" s="208" t="s">
        <v>71</v>
      </c>
      <c r="D470" s="209" t="s">
        <v>72</v>
      </c>
      <c r="E470" s="38">
        <f>E459+E446</f>
        <v>3807.25</v>
      </c>
      <c r="F470" s="38">
        <f>F459+F446</f>
        <v>50500</v>
      </c>
      <c r="G470" s="38">
        <f>G459+G446</f>
        <v>50500</v>
      </c>
      <c r="H470" s="38">
        <f>H459+H446</f>
        <v>0</v>
      </c>
      <c r="I470" s="601">
        <f t="shared" si="185"/>
        <v>0</v>
      </c>
      <c r="J470" s="601">
        <f t="shared" si="182"/>
        <v>0</v>
      </c>
    </row>
    <row r="471" spans="1:10" x14ac:dyDescent="0.25">
      <c r="A471" s="137" t="s">
        <v>86</v>
      </c>
      <c r="B471" s="137"/>
      <c r="C471" s="138"/>
      <c r="D471" s="139" t="s">
        <v>87</v>
      </c>
      <c r="E471" s="801">
        <f>SUM(E476,E473,E479)</f>
        <v>0</v>
      </c>
      <c r="F471" s="801">
        <f>SUM(F476,F473,F479)</f>
        <v>0</v>
      </c>
      <c r="G471" s="801">
        <f>G472</f>
        <v>0</v>
      </c>
      <c r="H471" s="801">
        <f>H472</f>
        <v>1950.28</v>
      </c>
      <c r="I471" s="874" t="e">
        <f t="shared" si="185"/>
        <v>#DIV/0!</v>
      </c>
      <c r="J471" s="874" t="e">
        <f t="shared" si="182"/>
        <v>#DIV/0!</v>
      </c>
    </row>
    <row r="472" spans="1:10" x14ac:dyDescent="0.25">
      <c r="A472" s="105"/>
      <c r="B472" s="22">
        <v>32</v>
      </c>
      <c r="C472" s="141"/>
      <c r="D472" s="142" t="s">
        <v>102</v>
      </c>
      <c r="E472" s="802">
        <f>E473+E476+E479</f>
        <v>0</v>
      </c>
      <c r="F472" s="802">
        <f>F473+F476+F479</f>
        <v>0</v>
      </c>
      <c r="G472" s="802">
        <f>G473+G476+G479</f>
        <v>0</v>
      </c>
      <c r="H472" s="802">
        <f>H473+H476+H479</f>
        <v>1950.28</v>
      </c>
      <c r="I472" s="875"/>
      <c r="J472" s="875"/>
    </row>
    <row r="473" spans="1:10" s="67" customFormat="1" hidden="1" x14ac:dyDescent="0.25">
      <c r="A473" s="236"/>
      <c r="B473" s="237" t="s">
        <v>112</v>
      </c>
      <c r="C473" s="238"/>
      <c r="D473" s="239" t="s">
        <v>113</v>
      </c>
      <c r="E473" s="756">
        <f>E474</f>
        <v>0</v>
      </c>
      <c r="F473" s="756">
        <f>F474</f>
        <v>0</v>
      </c>
      <c r="G473" s="756">
        <f t="shared" ref="G473:H473" si="197">G474</f>
        <v>0</v>
      </c>
      <c r="H473" s="756">
        <f t="shared" si="197"/>
        <v>0</v>
      </c>
      <c r="I473" s="876" t="e">
        <f t="shared" si="185"/>
        <v>#DIV/0!</v>
      </c>
      <c r="J473" s="876" t="e">
        <f t="shared" si="182"/>
        <v>#DIV/0!</v>
      </c>
    </row>
    <row r="474" spans="1:10" s="51" customFormat="1" hidden="1" x14ac:dyDescent="0.25">
      <c r="A474" s="240"/>
      <c r="B474" s="237" t="s">
        <v>120</v>
      </c>
      <c r="C474" s="238"/>
      <c r="D474" s="239" t="s">
        <v>121</v>
      </c>
      <c r="E474" s="756">
        <f>E475</f>
        <v>0</v>
      </c>
      <c r="F474" s="756">
        <f>F475</f>
        <v>0</v>
      </c>
      <c r="G474" s="756">
        <f t="shared" ref="G474:H474" si="198">G475</f>
        <v>0</v>
      </c>
      <c r="H474" s="756">
        <f t="shared" si="198"/>
        <v>0</v>
      </c>
      <c r="I474" s="876" t="e">
        <f t="shared" si="185"/>
        <v>#DIV/0!</v>
      </c>
      <c r="J474" s="876" t="e">
        <f t="shared" si="182"/>
        <v>#DIV/0!</v>
      </c>
    </row>
    <row r="475" spans="1:10" s="51" customFormat="1" hidden="1" x14ac:dyDescent="0.25">
      <c r="A475" s="240"/>
      <c r="B475" s="241" t="s">
        <v>524</v>
      </c>
      <c r="C475" s="242"/>
      <c r="D475" s="243" t="s">
        <v>537</v>
      </c>
      <c r="E475" s="803">
        <v>0</v>
      </c>
      <c r="F475" s="803">
        <v>0</v>
      </c>
      <c r="G475" s="803"/>
      <c r="H475" s="803">
        <f>'Rekapitulacija Posebni dio'!F659</f>
        <v>0</v>
      </c>
      <c r="I475" s="876" t="e">
        <f t="shared" ref="I475" si="199">H475/F475*100</f>
        <v>#DIV/0!</v>
      </c>
      <c r="J475" s="876" t="e">
        <f t="shared" ref="J475" si="200">H475/G475*100</f>
        <v>#DIV/0!</v>
      </c>
    </row>
    <row r="476" spans="1:10" hidden="1" x14ac:dyDescent="0.25">
      <c r="A476" s="233"/>
      <c r="B476" s="26" t="s">
        <v>126</v>
      </c>
      <c r="C476" s="534"/>
      <c r="D476" s="173" t="s">
        <v>127</v>
      </c>
      <c r="E476" s="756">
        <f>SUM(E477)</f>
        <v>0</v>
      </c>
      <c r="F476" s="756">
        <f>SUM(F477)</f>
        <v>0</v>
      </c>
      <c r="G476" s="756">
        <f>SUM(G477)</f>
        <v>0</v>
      </c>
      <c r="H476" s="756">
        <f t="shared" ref="H476" si="201">SUM(H477)</f>
        <v>0</v>
      </c>
      <c r="I476" s="876" t="e">
        <f t="shared" si="185"/>
        <v>#DIV/0!</v>
      </c>
      <c r="J476" s="876" t="e">
        <f t="shared" si="182"/>
        <v>#DIV/0!</v>
      </c>
    </row>
    <row r="477" spans="1:10" hidden="1" x14ac:dyDescent="0.25">
      <c r="A477" s="233"/>
      <c r="B477" s="518" t="s">
        <v>130</v>
      </c>
      <c r="C477" s="805"/>
      <c r="D477" s="207" t="s">
        <v>131</v>
      </c>
      <c r="E477" s="756">
        <f>E478</f>
        <v>0</v>
      </c>
      <c r="F477" s="756">
        <f>F478</f>
        <v>0</v>
      </c>
      <c r="G477" s="756">
        <f t="shared" ref="G477:H477" si="202">G478</f>
        <v>0</v>
      </c>
      <c r="H477" s="756">
        <f t="shared" si="202"/>
        <v>0</v>
      </c>
      <c r="I477" s="876" t="e">
        <f t="shared" si="185"/>
        <v>#DIV/0!</v>
      </c>
      <c r="J477" s="876" t="e">
        <f t="shared" si="182"/>
        <v>#DIV/0!</v>
      </c>
    </row>
    <row r="478" spans="1:10" hidden="1" x14ac:dyDescent="0.25">
      <c r="A478" s="233"/>
      <c r="B478" s="535" t="s">
        <v>512</v>
      </c>
      <c r="C478" s="534"/>
      <c r="D478" s="174" t="s">
        <v>414</v>
      </c>
      <c r="E478" s="803">
        <v>0</v>
      </c>
      <c r="F478" s="803">
        <v>0</v>
      </c>
      <c r="G478" s="803"/>
      <c r="H478" s="803">
        <f>'Rekapitulacija Posebni dio'!F662</f>
        <v>0</v>
      </c>
      <c r="I478" s="876" t="e">
        <f t="shared" ref="I478" si="203">H478/F478*100</f>
        <v>#DIV/0!</v>
      </c>
      <c r="J478" s="876" t="e">
        <f t="shared" ref="J478" si="204">H478/G478*100</f>
        <v>#DIV/0!</v>
      </c>
    </row>
    <row r="479" spans="1:10" s="67" customFormat="1" x14ac:dyDescent="0.25">
      <c r="A479" s="233"/>
      <c r="B479" s="26" t="s">
        <v>219</v>
      </c>
      <c r="C479" s="534"/>
      <c r="D479" s="173" t="s">
        <v>220</v>
      </c>
      <c r="E479" s="756">
        <f>E481</f>
        <v>0</v>
      </c>
      <c r="F479" s="756">
        <f>F481</f>
        <v>0</v>
      </c>
      <c r="G479" s="756">
        <f>G481</f>
        <v>0</v>
      </c>
      <c r="H479" s="756">
        <f>H480</f>
        <v>1950.28</v>
      </c>
      <c r="I479" s="876" t="e">
        <f t="shared" si="185"/>
        <v>#DIV/0!</v>
      </c>
      <c r="J479" s="876" t="e">
        <f t="shared" si="182"/>
        <v>#DIV/0!</v>
      </c>
    </row>
    <row r="480" spans="1:10" s="67" customFormat="1" x14ac:dyDescent="0.25">
      <c r="A480" s="233"/>
      <c r="B480" s="26" t="s">
        <v>231</v>
      </c>
      <c r="C480" s="534"/>
      <c r="D480" s="173" t="s">
        <v>147</v>
      </c>
      <c r="E480" s="756"/>
      <c r="F480" s="756"/>
      <c r="G480" s="756"/>
      <c r="H480" s="756">
        <f>H481</f>
        <v>1950.28</v>
      </c>
      <c r="I480" s="876"/>
      <c r="J480" s="876"/>
    </row>
    <row r="481" spans="1:10" x14ac:dyDescent="0.25">
      <c r="A481" s="233"/>
      <c r="B481" s="535" t="s">
        <v>503</v>
      </c>
      <c r="C481" s="534"/>
      <c r="D481" s="536" t="s">
        <v>504</v>
      </c>
      <c r="E481" s="803"/>
      <c r="F481" s="803"/>
      <c r="G481" s="803">
        <f>'Rekapitulacija Posebni dio'!E386</f>
        <v>0</v>
      </c>
      <c r="H481" s="803">
        <f>'Rekapitulacija Posebni dio'!F386</f>
        <v>1950.28</v>
      </c>
      <c r="I481" s="876" t="e">
        <f t="shared" si="185"/>
        <v>#DIV/0!</v>
      </c>
      <c r="J481" s="876" t="e">
        <f t="shared" si="182"/>
        <v>#DIV/0!</v>
      </c>
    </row>
    <row r="482" spans="1:10" s="410" customFormat="1" x14ac:dyDescent="0.25">
      <c r="A482" s="407">
        <v>4</v>
      </c>
      <c r="B482" s="408"/>
      <c r="C482" s="408"/>
      <c r="D482" s="409" t="s">
        <v>174</v>
      </c>
      <c r="E482" s="873">
        <f>E483</f>
        <v>3788.17</v>
      </c>
      <c r="F482" s="873">
        <f>F483</f>
        <v>5500</v>
      </c>
      <c r="G482" s="873">
        <f>G483</f>
        <v>5500</v>
      </c>
      <c r="H482" s="873">
        <f t="shared" ref="H482" si="205">H483</f>
        <v>0</v>
      </c>
      <c r="I482" s="872">
        <f t="shared" si="185"/>
        <v>0</v>
      </c>
      <c r="J482" s="872">
        <f t="shared" si="182"/>
        <v>0</v>
      </c>
    </row>
    <row r="483" spans="1:10" x14ac:dyDescent="0.25">
      <c r="A483" s="105"/>
      <c r="B483" s="22">
        <v>42</v>
      </c>
      <c r="C483" s="141"/>
      <c r="D483" s="142" t="s">
        <v>183</v>
      </c>
      <c r="E483" s="42">
        <f>SUM(E486,E484)</f>
        <v>3788.17</v>
      </c>
      <c r="F483" s="42">
        <f>SUM(F486,F484)</f>
        <v>5500</v>
      </c>
      <c r="G483" s="42">
        <f>SUM(G486,G484)</f>
        <v>5500</v>
      </c>
      <c r="H483" s="42">
        <f t="shared" ref="H483" si="206">SUM(H486,H484)</f>
        <v>0</v>
      </c>
      <c r="I483" s="606">
        <f t="shared" si="185"/>
        <v>0</v>
      </c>
      <c r="J483" s="606">
        <f t="shared" si="182"/>
        <v>0</v>
      </c>
    </row>
    <row r="484" spans="1:10" x14ac:dyDescent="0.25">
      <c r="A484" s="105"/>
      <c r="B484" s="43" t="s">
        <v>206</v>
      </c>
      <c r="C484" s="105"/>
      <c r="D484" s="173" t="s">
        <v>207</v>
      </c>
      <c r="E484" s="46">
        <f>E485</f>
        <v>0</v>
      </c>
      <c r="F484" s="46">
        <f>F485</f>
        <v>0</v>
      </c>
      <c r="G484" s="46">
        <f>G485</f>
        <v>0</v>
      </c>
      <c r="H484" s="46">
        <f t="shared" ref="H484" si="207">H485</f>
        <v>0</v>
      </c>
      <c r="I484" s="602" t="e">
        <f t="shared" si="185"/>
        <v>#DIV/0!</v>
      </c>
      <c r="J484" s="602" t="e">
        <f t="shared" si="182"/>
        <v>#DIV/0!</v>
      </c>
    </row>
    <row r="485" spans="1:10" s="51" customFormat="1" x14ac:dyDescent="0.25">
      <c r="A485" s="167"/>
      <c r="B485" s="48" t="s">
        <v>208</v>
      </c>
      <c r="C485" s="167"/>
      <c r="D485" s="174" t="s">
        <v>209</v>
      </c>
      <c r="E485" s="50"/>
      <c r="F485" s="50"/>
      <c r="G485" s="50"/>
      <c r="H485" s="50"/>
      <c r="I485" s="602" t="e">
        <f t="shared" si="185"/>
        <v>#DIV/0!</v>
      </c>
      <c r="J485" s="602" t="e">
        <f t="shared" si="182"/>
        <v>#DIV/0!</v>
      </c>
    </row>
    <row r="486" spans="1:10" x14ac:dyDescent="0.25">
      <c r="A486" s="255"/>
      <c r="B486" s="43">
        <v>422</v>
      </c>
      <c r="C486" s="105"/>
      <c r="D486" s="105" t="s">
        <v>184</v>
      </c>
      <c r="E486" s="56">
        <f t="shared" ref="E486:G487" si="208">SUM(E487)</f>
        <v>3788.17</v>
      </c>
      <c r="F486" s="56">
        <f t="shared" si="208"/>
        <v>5500</v>
      </c>
      <c r="G486" s="56">
        <f t="shared" si="208"/>
        <v>5500</v>
      </c>
      <c r="H486" s="56">
        <f t="shared" ref="H486:H487" si="209">SUM(H487)</f>
        <v>0</v>
      </c>
      <c r="I486" s="602">
        <f t="shared" si="185"/>
        <v>0</v>
      </c>
      <c r="J486" s="602">
        <f t="shared" si="182"/>
        <v>0</v>
      </c>
    </row>
    <row r="487" spans="1:10" x14ac:dyDescent="0.25">
      <c r="A487" s="255"/>
      <c r="B487" s="43" t="s">
        <v>229</v>
      </c>
      <c r="C487" s="105"/>
      <c r="D487" s="105" t="s">
        <v>190</v>
      </c>
      <c r="E487" s="56">
        <f t="shared" si="208"/>
        <v>3788.17</v>
      </c>
      <c r="F487" s="56">
        <f t="shared" si="208"/>
        <v>5500</v>
      </c>
      <c r="G487" s="56">
        <f t="shared" si="208"/>
        <v>5500</v>
      </c>
      <c r="H487" s="56">
        <f t="shared" si="209"/>
        <v>0</v>
      </c>
      <c r="I487" s="602">
        <f t="shared" si="185"/>
        <v>0</v>
      </c>
      <c r="J487" s="602">
        <f t="shared" si="182"/>
        <v>0</v>
      </c>
    </row>
    <row r="488" spans="1:10" x14ac:dyDescent="0.25">
      <c r="A488" s="256"/>
      <c r="B488" s="144" t="s">
        <v>505</v>
      </c>
      <c r="C488" s="143"/>
      <c r="D488" s="426" t="s">
        <v>450</v>
      </c>
      <c r="E488" s="59">
        <f>'Rekapitulacija Posebni dio'!C395</f>
        <v>3788.17</v>
      </c>
      <c r="F488" s="59">
        <f>'Rekapitulacija Posebni dio'!D395</f>
        <v>5500</v>
      </c>
      <c r="G488" s="59">
        <f>'Rekapitulacija Posebni dio'!E395</f>
        <v>5500</v>
      </c>
      <c r="H488" s="59">
        <f>'Rekapitulacija Posebni dio'!F395</f>
        <v>0</v>
      </c>
      <c r="I488" s="602">
        <f t="shared" si="185"/>
        <v>0</v>
      </c>
      <c r="J488" s="602">
        <f t="shared" si="182"/>
        <v>0</v>
      </c>
    </row>
    <row r="489" spans="1:10" s="67" customFormat="1" x14ac:dyDescent="0.25">
      <c r="A489" s="411"/>
      <c r="B489" s="258" t="s">
        <v>232</v>
      </c>
      <c r="C489" s="259"/>
      <c r="D489" s="259" t="s">
        <v>194</v>
      </c>
      <c r="E489" s="260">
        <f>E490</f>
        <v>0</v>
      </c>
      <c r="F489" s="260">
        <f>F490</f>
        <v>0</v>
      </c>
      <c r="G489" s="260">
        <f>G490</f>
        <v>0</v>
      </c>
      <c r="H489" s="260">
        <f t="shared" ref="H489" si="210">H490</f>
        <v>0</v>
      </c>
      <c r="I489" s="602" t="e">
        <f t="shared" si="185"/>
        <v>#DIV/0!</v>
      </c>
      <c r="J489" s="602" t="e">
        <f t="shared" si="182"/>
        <v>#DIV/0!</v>
      </c>
    </row>
    <row r="490" spans="1:10" x14ac:dyDescent="0.25">
      <c r="A490" s="257"/>
      <c r="B490" s="261" t="s">
        <v>233</v>
      </c>
      <c r="C490" s="262"/>
      <c r="D490" s="262" t="s">
        <v>195</v>
      </c>
      <c r="E490" s="263"/>
      <c r="F490" s="263"/>
      <c r="G490" s="263"/>
      <c r="H490" s="263"/>
      <c r="I490" s="602" t="e">
        <f t="shared" si="185"/>
        <v>#DIV/0!</v>
      </c>
      <c r="J490" s="602" t="e">
        <f t="shared" si="182"/>
        <v>#DIV/0!</v>
      </c>
    </row>
    <row r="491" spans="1:10" x14ac:dyDescent="0.25">
      <c r="A491" s="257"/>
      <c r="B491" s="22" t="s">
        <v>196</v>
      </c>
      <c r="C491" s="141"/>
      <c r="D491" s="179" t="s">
        <v>197</v>
      </c>
      <c r="E491" s="806">
        <f t="shared" ref="E491:F493" si="211">E492</f>
        <v>0</v>
      </c>
      <c r="F491" s="806">
        <f t="shared" si="211"/>
        <v>0</v>
      </c>
      <c r="G491" s="806">
        <f t="shared" ref="G491:H493" si="212">G492</f>
        <v>0</v>
      </c>
      <c r="H491" s="806">
        <f t="shared" si="212"/>
        <v>0</v>
      </c>
      <c r="I491" s="807" t="e">
        <f t="shared" si="185"/>
        <v>#DIV/0!</v>
      </c>
      <c r="J491" s="602" t="e">
        <f t="shared" si="182"/>
        <v>#DIV/0!</v>
      </c>
    </row>
    <row r="492" spans="1:10" hidden="1" x14ac:dyDescent="0.25">
      <c r="A492" s="257"/>
      <c r="B492" s="43" t="s">
        <v>198</v>
      </c>
      <c r="C492" s="143"/>
      <c r="D492" s="105" t="s">
        <v>199</v>
      </c>
      <c r="E492" s="263">
        <f t="shared" si="211"/>
        <v>0</v>
      </c>
      <c r="F492" s="263">
        <f t="shared" si="211"/>
        <v>0</v>
      </c>
      <c r="G492" s="263">
        <f t="shared" si="212"/>
        <v>0</v>
      </c>
      <c r="H492" s="263">
        <f t="shared" si="212"/>
        <v>0</v>
      </c>
      <c r="I492" s="602" t="e">
        <f t="shared" si="185"/>
        <v>#DIV/0!</v>
      </c>
      <c r="J492" s="602" t="e">
        <f t="shared" si="182"/>
        <v>#DIV/0!</v>
      </c>
    </row>
    <row r="493" spans="1:10" hidden="1" x14ac:dyDescent="0.25">
      <c r="A493" s="257"/>
      <c r="B493" s="48" t="s">
        <v>200</v>
      </c>
      <c r="C493" s="167"/>
      <c r="D493" s="167" t="s">
        <v>199</v>
      </c>
      <c r="E493" s="263">
        <f t="shared" si="211"/>
        <v>0</v>
      </c>
      <c r="F493" s="263">
        <f t="shared" si="211"/>
        <v>0</v>
      </c>
      <c r="G493" s="263">
        <f t="shared" si="212"/>
        <v>0</v>
      </c>
      <c r="H493" s="263">
        <f t="shared" si="212"/>
        <v>0</v>
      </c>
      <c r="I493" s="602" t="e">
        <f t="shared" si="185"/>
        <v>#DIV/0!</v>
      </c>
      <c r="J493" s="602" t="e">
        <f t="shared" si="182"/>
        <v>#DIV/0!</v>
      </c>
    </row>
    <row r="494" spans="1:10" hidden="1" x14ac:dyDescent="0.25">
      <c r="A494" s="257"/>
      <c r="B494" s="48" t="s">
        <v>496</v>
      </c>
      <c r="C494" s="167"/>
      <c r="D494" s="167" t="s">
        <v>199</v>
      </c>
      <c r="E494" s="263">
        <v>0</v>
      </c>
      <c r="F494" s="263">
        <v>0</v>
      </c>
      <c r="G494" s="263"/>
      <c r="H494" s="263">
        <f>'Rekapitulacija Posebni dio'!F667</f>
        <v>0</v>
      </c>
      <c r="I494" s="602" t="e">
        <f t="shared" si="185"/>
        <v>#DIV/0!</v>
      </c>
      <c r="J494" s="602" t="e">
        <f t="shared" si="182"/>
        <v>#DIV/0!</v>
      </c>
    </row>
    <row r="495" spans="1:10" ht="30.75" thickBot="1" x14ac:dyDescent="0.3">
      <c r="A495" s="264"/>
      <c r="B495" s="265"/>
      <c r="C495" s="266" t="s">
        <v>234</v>
      </c>
      <c r="D495" s="267" t="s">
        <v>235</v>
      </c>
      <c r="E495" s="127">
        <f>SUM(E483,E471)</f>
        <v>3788.17</v>
      </c>
      <c r="F495" s="127">
        <f>SUM(F483,F471)</f>
        <v>5500</v>
      </c>
      <c r="G495" s="127">
        <f>SUM(G483,G471)</f>
        <v>5500</v>
      </c>
      <c r="H495" s="127">
        <f>SUM(H483,H471)</f>
        <v>1950.28</v>
      </c>
      <c r="I495" s="603">
        <f t="shared" si="185"/>
        <v>35.459636363636363</v>
      </c>
      <c r="J495" s="603">
        <f t="shared" si="182"/>
        <v>35.459636363636363</v>
      </c>
    </row>
    <row r="496" spans="1:10" ht="16.5" thickBot="1" x14ac:dyDescent="0.3">
      <c r="A496" s="928" t="s">
        <v>236</v>
      </c>
      <c r="B496" s="929"/>
      <c r="C496" s="929"/>
      <c r="D496" s="930"/>
      <c r="E496" s="269">
        <f>E11+E41+E58+E212+(E247-0.01)+E331+E353+E414+E421+E441+E446+E459+E471+E482</f>
        <v>2650450.4499999997</v>
      </c>
      <c r="F496" s="269">
        <f>F11+F41+F58+F212+F247+F331+F353+F414+F421+F441+F446+F459+F471+F482</f>
        <v>4725934.57</v>
      </c>
      <c r="G496" s="269">
        <f>G11+G41+G58+G212+G247+G331+G353+G414+G421+G441+G446+G459+G471+G482</f>
        <v>4614031.7700000005</v>
      </c>
      <c r="H496" s="269">
        <f>H11+H41+H58+H212+H247+H331+H353+H414+H421+H441+H446+H459+H471+H482</f>
        <v>2566545.0699999998</v>
      </c>
      <c r="I496" s="604">
        <f t="shared" si="185"/>
        <v>54.307672524547876</v>
      </c>
      <c r="J496" s="604">
        <f t="shared" si="182"/>
        <v>55.624781057803588</v>
      </c>
    </row>
    <row r="497" spans="4:10" x14ac:dyDescent="0.25">
      <c r="D497" s="157"/>
      <c r="E497" s="869"/>
      <c r="I497" s="386"/>
      <c r="J497" s="386"/>
    </row>
    <row r="498" spans="4:10" x14ac:dyDescent="0.25">
      <c r="H498" s="272"/>
      <c r="I498" s="273"/>
      <c r="J498" s="273"/>
    </row>
    <row r="500" spans="4:10" x14ac:dyDescent="0.25">
      <c r="D500" s="274"/>
      <c r="E500" s="274"/>
      <c r="F500" s="275"/>
      <c r="G500" s="275"/>
      <c r="I500" s="276"/>
      <c r="J500" s="276"/>
    </row>
    <row r="501" spans="4:10" x14ac:dyDescent="0.25">
      <c r="D501" s="274"/>
      <c r="E501" s="274"/>
      <c r="F501" s="275"/>
      <c r="G501" s="275"/>
      <c r="H501" s="103"/>
    </row>
    <row r="502" spans="4:10" x14ac:dyDescent="0.25">
      <c r="D502" s="157"/>
      <c r="E502" s="157"/>
      <c r="F502" s="275"/>
      <c r="G502" s="275"/>
    </row>
  </sheetData>
  <mergeCells count="6">
    <mergeCell ref="A496:D496"/>
    <mergeCell ref="A1:I1"/>
    <mergeCell ref="A2:I2"/>
    <mergeCell ref="A3:I3"/>
    <mergeCell ref="A5:I5"/>
    <mergeCell ref="A7:D7"/>
  </mergeCells>
  <phoneticPr fontId="131" type="noConversion"/>
  <pageMargins left="0.7" right="0.7" top="0.75" bottom="0.75" header="0.3" footer="0.3"/>
  <pageSetup paperSize="9" scale="6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1"/>
  <sheetViews>
    <sheetView workbookViewId="0">
      <selection activeCell="B8" sqref="B8"/>
    </sheetView>
  </sheetViews>
  <sheetFormatPr defaultRowHeight="15.75" x14ac:dyDescent="0.25"/>
  <cols>
    <col min="1" max="1" width="30" style="485" customWidth="1"/>
    <col min="2" max="2" width="24.140625" style="485" customWidth="1"/>
    <col min="3" max="3" width="15.5703125" style="485" bestFit="1" customWidth="1"/>
    <col min="4" max="4" width="14.28515625" style="485" bestFit="1" customWidth="1"/>
    <col min="5" max="5" width="15.7109375" style="485" customWidth="1"/>
    <col min="6" max="6" width="16.7109375" style="485" hidden="1" customWidth="1"/>
    <col min="7" max="7" width="7.28515625" style="485" bestFit="1" customWidth="1"/>
    <col min="8" max="252" width="9.140625" style="485"/>
    <col min="253" max="253" width="30" style="485" customWidth="1"/>
    <col min="254" max="254" width="0" style="485" hidden="1" customWidth="1"/>
    <col min="255" max="255" width="15.7109375" style="485" customWidth="1"/>
    <col min="256" max="256" width="0" style="485" hidden="1" customWidth="1"/>
    <col min="257" max="257" width="16.7109375" style="485" customWidth="1"/>
    <col min="258" max="258" width="8.85546875" style="485" customWidth="1"/>
    <col min="259" max="508" width="9.140625" style="485"/>
    <col min="509" max="509" width="30" style="485" customWidth="1"/>
    <col min="510" max="510" width="0" style="485" hidden="1" customWidth="1"/>
    <col min="511" max="511" width="15.7109375" style="485" customWidth="1"/>
    <col min="512" max="512" width="0" style="485" hidden="1" customWidth="1"/>
    <col min="513" max="513" width="16.7109375" style="485" customWidth="1"/>
    <col min="514" max="514" width="8.85546875" style="485" customWidth="1"/>
    <col min="515" max="764" width="9.140625" style="485"/>
    <col min="765" max="765" width="30" style="485" customWidth="1"/>
    <col min="766" max="766" width="0" style="485" hidden="1" customWidth="1"/>
    <col min="767" max="767" width="15.7109375" style="485" customWidth="1"/>
    <col min="768" max="768" width="0" style="485" hidden="1" customWidth="1"/>
    <col min="769" max="769" width="16.7109375" style="485" customWidth="1"/>
    <col min="770" max="770" width="8.85546875" style="485" customWidth="1"/>
    <col min="771" max="1020" width="9.140625" style="485"/>
    <col min="1021" max="1021" width="30" style="485" customWidth="1"/>
    <col min="1022" max="1022" width="0" style="485" hidden="1" customWidth="1"/>
    <col min="1023" max="1023" width="15.7109375" style="485" customWidth="1"/>
    <col min="1024" max="1024" width="0" style="485" hidden="1" customWidth="1"/>
    <col min="1025" max="1025" width="16.7109375" style="485" customWidth="1"/>
    <col min="1026" max="1026" width="8.85546875" style="485" customWidth="1"/>
    <col min="1027" max="1276" width="9.140625" style="485"/>
    <col min="1277" max="1277" width="30" style="485" customWidth="1"/>
    <col min="1278" max="1278" width="0" style="485" hidden="1" customWidth="1"/>
    <col min="1279" max="1279" width="15.7109375" style="485" customWidth="1"/>
    <col min="1280" max="1280" width="0" style="485" hidden="1" customWidth="1"/>
    <col min="1281" max="1281" width="16.7109375" style="485" customWidth="1"/>
    <col min="1282" max="1282" width="8.85546875" style="485" customWidth="1"/>
    <col min="1283" max="1532" width="9.140625" style="485"/>
    <col min="1533" max="1533" width="30" style="485" customWidth="1"/>
    <col min="1534" max="1534" width="0" style="485" hidden="1" customWidth="1"/>
    <col min="1535" max="1535" width="15.7109375" style="485" customWidth="1"/>
    <col min="1536" max="1536" width="0" style="485" hidden="1" customWidth="1"/>
    <col min="1537" max="1537" width="16.7109375" style="485" customWidth="1"/>
    <col min="1538" max="1538" width="8.85546875" style="485" customWidth="1"/>
    <col min="1539" max="1788" width="9.140625" style="485"/>
    <col min="1789" max="1789" width="30" style="485" customWidth="1"/>
    <col min="1790" max="1790" width="0" style="485" hidden="1" customWidth="1"/>
    <col min="1791" max="1791" width="15.7109375" style="485" customWidth="1"/>
    <col min="1792" max="1792" width="0" style="485" hidden="1" customWidth="1"/>
    <col min="1793" max="1793" width="16.7109375" style="485" customWidth="1"/>
    <col min="1794" max="1794" width="8.85546875" style="485" customWidth="1"/>
    <col min="1795" max="2044" width="9.140625" style="485"/>
    <col min="2045" max="2045" width="30" style="485" customWidth="1"/>
    <col min="2046" max="2046" width="0" style="485" hidden="1" customWidth="1"/>
    <col min="2047" max="2047" width="15.7109375" style="485" customWidth="1"/>
    <col min="2048" max="2048" width="0" style="485" hidden="1" customWidth="1"/>
    <col min="2049" max="2049" width="16.7109375" style="485" customWidth="1"/>
    <col min="2050" max="2050" width="8.85546875" style="485" customWidth="1"/>
    <col min="2051" max="2300" width="9.140625" style="485"/>
    <col min="2301" max="2301" width="30" style="485" customWidth="1"/>
    <col min="2302" max="2302" width="0" style="485" hidden="1" customWidth="1"/>
    <col min="2303" max="2303" width="15.7109375" style="485" customWidth="1"/>
    <col min="2304" max="2304" width="0" style="485" hidden="1" customWidth="1"/>
    <col min="2305" max="2305" width="16.7109375" style="485" customWidth="1"/>
    <col min="2306" max="2306" width="8.85546875" style="485" customWidth="1"/>
    <col min="2307" max="2556" width="9.140625" style="485"/>
    <col min="2557" max="2557" width="30" style="485" customWidth="1"/>
    <col min="2558" max="2558" width="0" style="485" hidden="1" customWidth="1"/>
    <col min="2559" max="2559" width="15.7109375" style="485" customWidth="1"/>
    <col min="2560" max="2560" width="0" style="485" hidden="1" customWidth="1"/>
    <col min="2561" max="2561" width="16.7109375" style="485" customWidth="1"/>
    <col min="2562" max="2562" width="8.85546875" style="485" customWidth="1"/>
    <col min="2563" max="2812" width="9.140625" style="485"/>
    <col min="2813" max="2813" width="30" style="485" customWidth="1"/>
    <col min="2814" max="2814" width="0" style="485" hidden="1" customWidth="1"/>
    <col min="2815" max="2815" width="15.7109375" style="485" customWidth="1"/>
    <col min="2816" max="2816" width="0" style="485" hidden="1" customWidth="1"/>
    <col min="2817" max="2817" width="16.7109375" style="485" customWidth="1"/>
    <col min="2818" max="2818" width="8.85546875" style="485" customWidth="1"/>
    <col min="2819" max="3068" width="9.140625" style="485"/>
    <col min="3069" max="3069" width="30" style="485" customWidth="1"/>
    <col min="3070" max="3070" width="0" style="485" hidden="1" customWidth="1"/>
    <col min="3071" max="3071" width="15.7109375" style="485" customWidth="1"/>
    <col min="3072" max="3072" width="0" style="485" hidden="1" customWidth="1"/>
    <col min="3073" max="3073" width="16.7109375" style="485" customWidth="1"/>
    <col min="3074" max="3074" width="8.85546875" style="485" customWidth="1"/>
    <col min="3075" max="3324" width="9.140625" style="485"/>
    <col min="3325" max="3325" width="30" style="485" customWidth="1"/>
    <col min="3326" max="3326" width="0" style="485" hidden="1" customWidth="1"/>
    <col min="3327" max="3327" width="15.7109375" style="485" customWidth="1"/>
    <col min="3328" max="3328" width="0" style="485" hidden="1" customWidth="1"/>
    <col min="3329" max="3329" width="16.7109375" style="485" customWidth="1"/>
    <col min="3330" max="3330" width="8.85546875" style="485" customWidth="1"/>
    <col min="3331" max="3580" width="9.140625" style="485"/>
    <col min="3581" max="3581" width="30" style="485" customWidth="1"/>
    <col min="3582" max="3582" width="0" style="485" hidden="1" customWidth="1"/>
    <col min="3583" max="3583" width="15.7109375" style="485" customWidth="1"/>
    <col min="3584" max="3584" width="0" style="485" hidden="1" customWidth="1"/>
    <col min="3585" max="3585" width="16.7109375" style="485" customWidth="1"/>
    <col min="3586" max="3586" width="8.85546875" style="485" customWidth="1"/>
    <col min="3587" max="3836" width="9.140625" style="485"/>
    <col min="3837" max="3837" width="30" style="485" customWidth="1"/>
    <col min="3838" max="3838" width="0" style="485" hidden="1" customWidth="1"/>
    <col min="3839" max="3839" width="15.7109375" style="485" customWidth="1"/>
    <col min="3840" max="3840" width="0" style="485" hidden="1" customWidth="1"/>
    <col min="3841" max="3841" width="16.7109375" style="485" customWidth="1"/>
    <col min="3842" max="3842" width="8.85546875" style="485" customWidth="1"/>
    <col min="3843" max="4092" width="9.140625" style="485"/>
    <col min="4093" max="4093" width="30" style="485" customWidth="1"/>
    <col min="4094" max="4094" width="0" style="485" hidden="1" customWidth="1"/>
    <col min="4095" max="4095" width="15.7109375" style="485" customWidth="1"/>
    <col min="4096" max="4096" width="0" style="485" hidden="1" customWidth="1"/>
    <col min="4097" max="4097" width="16.7109375" style="485" customWidth="1"/>
    <col min="4098" max="4098" width="8.85546875" style="485" customWidth="1"/>
    <col min="4099" max="4348" width="9.140625" style="485"/>
    <col min="4349" max="4349" width="30" style="485" customWidth="1"/>
    <col min="4350" max="4350" width="0" style="485" hidden="1" customWidth="1"/>
    <col min="4351" max="4351" width="15.7109375" style="485" customWidth="1"/>
    <col min="4352" max="4352" width="0" style="485" hidden="1" customWidth="1"/>
    <col min="4353" max="4353" width="16.7109375" style="485" customWidth="1"/>
    <col min="4354" max="4354" width="8.85546875" style="485" customWidth="1"/>
    <col min="4355" max="4604" width="9.140625" style="485"/>
    <col min="4605" max="4605" width="30" style="485" customWidth="1"/>
    <col min="4606" max="4606" width="0" style="485" hidden="1" customWidth="1"/>
    <col min="4607" max="4607" width="15.7109375" style="485" customWidth="1"/>
    <col min="4608" max="4608" width="0" style="485" hidden="1" customWidth="1"/>
    <col min="4609" max="4609" width="16.7109375" style="485" customWidth="1"/>
    <col min="4610" max="4610" width="8.85546875" style="485" customWidth="1"/>
    <col min="4611" max="4860" width="9.140625" style="485"/>
    <col min="4861" max="4861" width="30" style="485" customWidth="1"/>
    <col min="4862" max="4862" width="0" style="485" hidden="1" customWidth="1"/>
    <col min="4863" max="4863" width="15.7109375" style="485" customWidth="1"/>
    <col min="4864" max="4864" width="0" style="485" hidden="1" customWidth="1"/>
    <col min="4865" max="4865" width="16.7109375" style="485" customWidth="1"/>
    <col min="4866" max="4866" width="8.85546875" style="485" customWidth="1"/>
    <col min="4867" max="5116" width="9.140625" style="485"/>
    <col min="5117" max="5117" width="30" style="485" customWidth="1"/>
    <col min="5118" max="5118" width="0" style="485" hidden="1" customWidth="1"/>
    <col min="5119" max="5119" width="15.7109375" style="485" customWidth="1"/>
    <col min="5120" max="5120" width="0" style="485" hidden="1" customWidth="1"/>
    <col min="5121" max="5121" width="16.7109375" style="485" customWidth="1"/>
    <col min="5122" max="5122" width="8.85546875" style="485" customWidth="1"/>
    <col min="5123" max="5372" width="9.140625" style="485"/>
    <col min="5373" max="5373" width="30" style="485" customWidth="1"/>
    <col min="5374" max="5374" width="0" style="485" hidden="1" customWidth="1"/>
    <col min="5375" max="5375" width="15.7109375" style="485" customWidth="1"/>
    <col min="5376" max="5376" width="0" style="485" hidden="1" customWidth="1"/>
    <col min="5377" max="5377" width="16.7109375" style="485" customWidth="1"/>
    <col min="5378" max="5378" width="8.85546875" style="485" customWidth="1"/>
    <col min="5379" max="5628" width="9.140625" style="485"/>
    <col min="5629" max="5629" width="30" style="485" customWidth="1"/>
    <col min="5630" max="5630" width="0" style="485" hidden="1" customWidth="1"/>
    <col min="5631" max="5631" width="15.7109375" style="485" customWidth="1"/>
    <col min="5632" max="5632" width="0" style="485" hidden="1" customWidth="1"/>
    <col min="5633" max="5633" width="16.7109375" style="485" customWidth="1"/>
    <col min="5634" max="5634" width="8.85546875" style="485" customWidth="1"/>
    <col min="5635" max="5884" width="9.140625" style="485"/>
    <col min="5885" max="5885" width="30" style="485" customWidth="1"/>
    <col min="5886" max="5886" width="0" style="485" hidden="1" customWidth="1"/>
    <col min="5887" max="5887" width="15.7109375" style="485" customWidth="1"/>
    <col min="5888" max="5888" width="0" style="485" hidden="1" customWidth="1"/>
    <col min="5889" max="5889" width="16.7109375" style="485" customWidth="1"/>
    <col min="5890" max="5890" width="8.85546875" style="485" customWidth="1"/>
    <col min="5891" max="6140" width="9.140625" style="485"/>
    <col min="6141" max="6141" width="30" style="485" customWidth="1"/>
    <col min="6142" max="6142" width="0" style="485" hidden="1" customWidth="1"/>
    <col min="6143" max="6143" width="15.7109375" style="485" customWidth="1"/>
    <col min="6144" max="6144" width="0" style="485" hidden="1" customWidth="1"/>
    <col min="6145" max="6145" width="16.7109375" style="485" customWidth="1"/>
    <col min="6146" max="6146" width="8.85546875" style="485" customWidth="1"/>
    <col min="6147" max="6396" width="9.140625" style="485"/>
    <col min="6397" max="6397" width="30" style="485" customWidth="1"/>
    <col min="6398" max="6398" width="0" style="485" hidden="1" customWidth="1"/>
    <col min="6399" max="6399" width="15.7109375" style="485" customWidth="1"/>
    <col min="6400" max="6400" width="0" style="485" hidden="1" customWidth="1"/>
    <col min="6401" max="6401" width="16.7109375" style="485" customWidth="1"/>
    <col min="6402" max="6402" width="8.85546875" style="485" customWidth="1"/>
    <col min="6403" max="6652" width="9.140625" style="485"/>
    <col min="6653" max="6653" width="30" style="485" customWidth="1"/>
    <col min="6654" max="6654" width="0" style="485" hidden="1" customWidth="1"/>
    <col min="6655" max="6655" width="15.7109375" style="485" customWidth="1"/>
    <col min="6656" max="6656" width="0" style="485" hidden="1" customWidth="1"/>
    <col min="6657" max="6657" width="16.7109375" style="485" customWidth="1"/>
    <col min="6658" max="6658" width="8.85546875" style="485" customWidth="1"/>
    <col min="6659" max="6908" width="9.140625" style="485"/>
    <col min="6909" max="6909" width="30" style="485" customWidth="1"/>
    <col min="6910" max="6910" width="0" style="485" hidden="1" customWidth="1"/>
    <col min="6911" max="6911" width="15.7109375" style="485" customWidth="1"/>
    <col min="6912" max="6912" width="0" style="485" hidden="1" customWidth="1"/>
    <col min="6913" max="6913" width="16.7109375" style="485" customWidth="1"/>
    <col min="6914" max="6914" width="8.85546875" style="485" customWidth="1"/>
    <col min="6915" max="7164" width="9.140625" style="485"/>
    <col min="7165" max="7165" width="30" style="485" customWidth="1"/>
    <col min="7166" max="7166" width="0" style="485" hidden="1" customWidth="1"/>
    <col min="7167" max="7167" width="15.7109375" style="485" customWidth="1"/>
    <col min="7168" max="7168" width="0" style="485" hidden="1" customWidth="1"/>
    <col min="7169" max="7169" width="16.7109375" style="485" customWidth="1"/>
    <col min="7170" max="7170" width="8.85546875" style="485" customWidth="1"/>
    <col min="7171" max="7420" width="9.140625" style="485"/>
    <col min="7421" max="7421" width="30" style="485" customWidth="1"/>
    <col min="7422" max="7422" width="0" style="485" hidden="1" customWidth="1"/>
    <col min="7423" max="7423" width="15.7109375" style="485" customWidth="1"/>
    <col min="7424" max="7424" width="0" style="485" hidden="1" customWidth="1"/>
    <col min="7425" max="7425" width="16.7109375" style="485" customWidth="1"/>
    <col min="7426" max="7426" width="8.85546875" style="485" customWidth="1"/>
    <col min="7427" max="7676" width="9.140625" style="485"/>
    <col min="7677" max="7677" width="30" style="485" customWidth="1"/>
    <col min="7678" max="7678" width="0" style="485" hidden="1" customWidth="1"/>
    <col min="7679" max="7679" width="15.7109375" style="485" customWidth="1"/>
    <col min="7680" max="7680" width="0" style="485" hidden="1" customWidth="1"/>
    <col min="7681" max="7681" width="16.7109375" style="485" customWidth="1"/>
    <col min="7682" max="7682" width="8.85546875" style="485" customWidth="1"/>
    <col min="7683" max="7932" width="9.140625" style="485"/>
    <col min="7933" max="7933" width="30" style="485" customWidth="1"/>
    <col min="7934" max="7934" width="0" style="485" hidden="1" customWidth="1"/>
    <col min="7935" max="7935" width="15.7109375" style="485" customWidth="1"/>
    <col min="7936" max="7936" width="0" style="485" hidden="1" customWidth="1"/>
    <col min="7937" max="7937" width="16.7109375" style="485" customWidth="1"/>
    <col min="7938" max="7938" width="8.85546875" style="485" customWidth="1"/>
    <col min="7939" max="8188" width="9.140625" style="485"/>
    <col min="8189" max="8189" width="30" style="485" customWidth="1"/>
    <col min="8190" max="8190" width="0" style="485" hidden="1" customWidth="1"/>
    <col min="8191" max="8191" width="15.7109375" style="485" customWidth="1"/>
    <col min="8192" max="8192" width="0" style="485" hidden="1" customWidth="1"/>
    <col min="8193" max="8193" width="16.7109375" style="485" customWidth="1"/>
    <col min="8194" max="8194" width="8.85546875" style="485" customWidth="1"/>
    <col min="8195" max="8444" width="9.140625" style="485"/>
    <col min="8445" max="8445" width="30" style="485" customWidth="1"/>
    <col min="8446" max="8446" width="0" style="485" hidden="1" customWidth="1"/>
    <col min="8447" max="8447" width="15.7109375" style="485" customWidth="1"/>
    <col min="8448" max="8448" width="0" style="485" hidden="1" customWidth="1"/>
    <col min="8449" max="8449" width="16.7109375" style="485" customWidth="1"/>
    <col min="8450" max="8450" width="8.85546875" style="485" customWidth="1"/>
    <col min="8451" max="8700" width="9.140625" style="485"/>
    <col min="8701" max="8701" width="30" style="485" customWidth="1"/>
    <col min="8702" max="8702" width="0" style="485" hidden="1" customWidth="1"/>
    <col min="8703" max="8703" width="15.7109375" style="485" customWidth="1"/>
    <col min="8704" max="8704" width="0" style="485" hidden="1" customWidth="1"/>
    <col min="8705" max="8705" width="16.7109375" style="485" customWidth="1"/>
    <col min="8706" max="8706" width="8.85546875" style="485" customWidth="1"/>
    <col min="8707" max="8956" width="9.140625" style="485"/>
    <col min="8957" max="8957" width="30" style="485" customWidth="1"/>
    <col min="8958" max="8958" width="0" style="485" hidden="1" customWidth="1"/>
    <col min="8959" max="8959" width="15.7109375" style="485" customWidth="1"/>
    <col min="8960" max="8960" width="0" style="485" hidden="1" customWidth="1"/>
    <col min="8961" max="8961" width="16.7109375" style="485" customWidth="1"/>
    <col min="8962" max="8962" width="8.85546875" style="485" customWidth="1"/>
    <col min="8963" max="9212" width="9.140625" style="485"/>
    <col min="9213" max="9213" width="30" style="485" customWidth="1"/>
    <col min="9214" max="9214" width="0" style="485" hidden="1" customWidth="1"/>
    <col min="9215" max="9215" width="15.7109375" style="485" customWidth="1"/>
    <col min="9216" max="9216" width="0" style="485" hidden="1" customWidth="1"/>
    <col min="9217" max="9217" width="16.7109375" style="485" customWidth="1"/>
    <col min="9218" max="9218" width="8.85546875" style="485" customWidth="1"/>
    <col min="9219" max="9468" width="9.140625" style="485"/>
    <col min="9469" max="9469" width="30" style="485" customWidth="1"/>
    <col min="9470" max="9470" width="0" style="485" hidden="1" customWidth="1"/>
    <col min="9471" max="9471" width="15.7109375" style="485" customWidth="1"/>
    <col min="9472" max="9472" width="0" style="485" hidden="1" customWidth="1"/>
    <col min="9473" max="9473" width="16.7109375" style="485" customWidth="1"/>
    <col min="9474" max="9474" width="8.85546875" style="485" customWidth="1"/>
    <col min="9475" max="9724" width="9.140625" style="485"/>
    <col min="9725" max="9725" width="30" style="485" customWidth="1"/>
    <col min="9726" max="9726" width="0" style="485" hidden="1" customWidth="1"/>
    <col min="9727" max="9727" width="15.7109375" style="485" customWidth="1"/>
    <col min="9728" max="9728" width="0" style="485" hidden="1" customWidth="1"/>
    <col min="9729" max="9729" width="16.7109375" style="485" customWidth="1"/>
    <col min="9730" max="9730" width="8.85546875" style="485" customWidth="1"/>
    <col min="9731" max="9980" width="9.140625" style="485"/>
    <col min="9981" max="9981" width="30" style="485" customWidth="1"/>
    <col min="9982" max="9982" width="0" style="485" hidden="1" customWidth="1"/>
    <col min="9983" max="9983" width="15.7109375" style="485" customWidth="1"/>
    <col min="9984" max="9984" width="0" style="485" hidden="1" customWidth="1"/>
    <col min="9985" max="9985" width="16.7109375" style="485" customWidth="1"/>
    <col min="9986" max="9986" width="8.85546875" style="485" customWidth="1"/>
    <col min="9987" max="10236" width="9.140625" style="485"/>
    <col min="10237" max="10237" width="30" style="485" customWidth="1"/>
    <col min="10238" max="10238" width="0" style="485" hidden="1" customWidth="1"/>
    <col min="10239" max="10239" width="15.7109375" style="485" customWidth="1"/>
    <col min="10240" max="10240" width="0" style="485" hidden="1" customWidth="1"/>
    <col min="10241" max="10241" width="16.7109375" style="485" customWidth="1"/>
    <col min="10242" max="10242" width="8.85546875" style="485" customWidth="1"/>
    <col min="10243" max="10492" width="9.140625" style="485"/>
    <col min="10493" max="10493" width="30" style="485" customWidth="1"/>
    <col min="10494" max="10494" width="0" style="485" hidden="1" customWidth="1"/>
    <col min="10495" max="10495" width="15.7109375" style="485" customWidth="1"/>
    <col min="10496" max="10496" width="0" style="485" hidden="1" customWidth="1"/>
    <col min="10497" max="10497" width="16.7109375" style="485" customWidth="1"/>
    <col min="10498" max="10498" width="8.85546875" style="485" customWidth="1"/>
    <col min="10499" max="10748" width="9.140625" style="485"/>
    <col min="10749" max="10749" width="30" style="485" customWidth="1"/>
    <col min="10750" max="10750" width="0" style="485" hidden="1" customWidth="1"/>
    <col min="10751" max="10751" width="15.7109375" style="485" customWidth="1"/>
    <col min="10752" max="10752" width="0" style="485" hidden="1" customWidth="1"/>
    <col min="10753" max="10753" width="16.7109375" style="485" customWidth="1"/>
    <col min="10754" max="10754" width="8.85546875" style="485" customWidth="1"/>
    <col min="10755" max="11004" width="9.140625" style="485"/>
    <col min="11005" max="11005" width="30" style="485" customWidth="1"/>
    <col min="11006" max="11006" width="0" style="485" hidden="1" customWidth="1"/>
    <col min="11007" max="11007" width="15.7109375" style="485" customWidth="1"/>
    <col min="11008" max="11008" width="0" style="485" hidden="1" customWidth="1"/>
    <col min="11009" max="11009" width="16.7109375" style="485" customWidth="1"/>
    <col min="11010" max="11010" width="8.85546875" style="485" customWidth="1"/>
    <col min="11011" max="11260" width="9.140625" style="485"/>
    <col min="11261" max="11261" width="30" style="485" customWidth="1"/>
    <col min="11262" max="11262" width="0" style="485" hidden="1" customWidth="1"/>
    <col min="11263" max="11263" width="15.7109375" style="485" customWidth="1"/>
    <col min="11264" max="11264" width="0" style="485" hidden="1" customWidth="1"/>
    <col min="11265" max="11265" width="16.7109375" style="485" customWidth="1"/>
    <col min="11266" max="11266" width="8.85546875" style="485" customWidth="1"/>
    <col min="11267" max="11516" width="9.140625" style="485"/>
    <col min="11517" max="11517" width="30" style="485" customWidth="1"/>
    <col min="11518" max="11518" width="0" style="485" hidden="1" customWidth="1"/>
    <col min="11519" max="11519" width="15.7109375" style="485" customWidth="1"/>
    <col min="11520" max="11520" width="0" style="485" hidden="1" customWidth="1"/>
    <col min="11521" max="11521" width="16.7109375" style="485" customWidth="1"/>
    <col min="11522" max="11522" width="8.85546875" style="485" customWidth="1"/>
    <col min="11523" max="11772" width="9.140625" style="485"/>
    <col min="11773" max="11773" width="30" style="485" customWidth="1"/>
    <col min="11774" max="11774" width="0" style="485" hidden="1" customWidth="1"/>
    <col min="11775" max="11775" width="15.7109375" style="485" customWidth="1"/>
    <col min="11776" max="11776" width="0" style="485" hidden="1" customWidth="1"/>
    <col min="11777" max="11777" width="16.7109375" style="485" customWidth="1"/>
    <col min="11778" max="11778" width="8.85546875" style="485" customWidth="1"/>
    <col min="11779" max="12028" width="9.140625" style="485"/>
    <col min="12029" max="12029" width="30" style="485" customWidth="1"/>
    <col min="12030" max="12030" width="0" style="485" hidden="1" customWidth="1"/>
    <col min="12031" max="12031" width="15.7109375" style="485" customWidth="1"/>
    <col min="12032" max="12032" width="0" style="485" hidden="1" customWidth="1"/>
    <col min="12033" max="12033" width="16.7109375" style="485" customWidth="1"/>
    <col min="12034" max="12034" width="8.85546875" style="485" customWidth="1"/>
    <col min="12035" max="12284" width="9.140625" style="485"/>
    <col min="12285" max="12285" width="30" style="485" customWidth="1"/>
    <col min="12286" max="12286" width="0" style="485" hidden="1" customWidth="1"/>
    <col min="12287" max="12287" width="15.7109375" style="485" customWidth="1"/>
    <col min="12288" max="12288" width="0" style="485" hidden="1" customWidth="1"/>
    <col min="12289" max="12289" width="16.7109375" style="485" customWidth="1"/>
    <col min="12290" max="12290" width="8.85546875" style="485" customWidth="1"/>
    <col min="12291" max="12540" width="9.140625" style="485"/>
    <col min="12541" max="12541" width="30" style="485" customWidth="1"/>
    <col min="12542" max="12542" width="0" style="485" hidden="1" customWidth="1"/>
    <col min="12543" max="12543" width="15.7109375" style="485" customWidth="1"/>
    <col min="12544" max="12544" width="0" style="485" hidden="1" customWidth="1"/>
    <col min="12545" max="12545" width="16.7109375" style="485" customWidth="1"/>
    <col min="12546" max="12546" width="8.85546875" style="485" customWidth="1"/>
    <col min="12547" max="12796" width="9.140625" style="485"/>
    <col min="12797" max="12797" width="30" style="485" customWidth="1"/>
    <col min="12798" max="12798" width="0" style="485" hidden="1" customWidth="1"/>
    <col min="12799" max="12799" width="15.7109375" style="485" customWidth="1"/>
    <col min="12800" max="12800" width="0" style="485" hidden="1" customWidth="1"/>
    <col min="12801" max="12801" width="16.7109375" style="485" customWidth="1"/>
    <col min="12802" max="12802" width="8.85546875" style="485" customWidth="1"/>
    <col min="12803" max="13052" width="9.140625" style="485"/>
    <col min="13053" max="13053" width="30" style="485" customWidth="1"/>
    <col min="13054" max="13054" width="0" style="485" hidden="1" customWidth="1"/>
    <col min="13055" max="13055" width="15.7109375" style="485" customWidth="1"/>
    <col min="13056" max="13056" width="0" style="485" hidden="1" customWidth="1"/>
    <col min="13057" max="13057" width="16.7109375" style="485" customWidth="1"/>
    <col min="13058" max="13058" width="8.85546875" style="485" customWidth="1"/>
    <col min="13059" max="13308" width="9.140625" style="485"/>
    <col min="13309" max="13309" width="30" style="485" customWidth="1"/>
    <col min="13310" max="13310" width="0" style="485" hidden="1" customWidth="1"/>
    <col min="13311" max="13311" width="15.7109375" style="485" customWidth="1"/>
    <col min="13312" max="13312" width="0" style="485" hidden="1" customWidth="1"/>
    <col min="13313" max="13313" width="16.7109375" style="485" customWidth="1"/>
    <col min="13314" max="13314" width="8.85546875" style="485" customWidth="1"/>
    <col min="13315" max="13564" width="9.140625" style="485"/>
    <col min="13565" max="13565" width="30" style="485" customWidth="1"/>
    <col min="13566" max="13566" width="0" style="485" hidden="1" customWidth="1"/>
    <col min="13567" max="13567" width="15.7109375" style="485" customWidth="1"/>
    <col min="13568" max="13568" width="0" style="485" hidden="1" customWidth="1"/>
    <col min="13569" max="13569" width="16.7109375" style="485" customWidth="1"/>
    <col min="13570" max="13570" width="8.85546875" style="485" customWidth="1"/>
    <col min="13571" max="13820" width="9.140625" style="485"/>
    <col min="13821" max="13821" width="30" style="485" customWidth="1"/>
    <col min="13822" max="13822" width="0" style="485" hidden="1" customWidth="1"/>
    <col min="13823" max="13823" width="15.7109375" style="485" customWidth="1"/>
    <col min="13824" max="13824" width="0" style="485" hidden="1" customWidth="1"/>
    <col min="13825" max="13825" width="16.7109375" style="485" customWidth="1"/>
    <col min="13826" max="13826" width="8.85546875" style="485" customWidth="1"/>
    <col min="13827" max="14076" width="9.140625" style="485"/>
    <col min="14077" max="14077" width="30" style="485" customWidth="1"/>
    <col min="14078" max="14078" width="0" style="485" hidden="1" customWidth="1"/>
    <col min="14079" max="14079" width="15.7109375" style="485" customWidth="1"/>
    <col min="14080" max="14080" width="0" style="485" hidden="1" customWidth="1"/>
    <col min="14081" max="14081" width="16.7109375" style="485" customWidth="1"/>
    <col min="14082" max="14082" width="8.85546875" style="485" customWidth="1"/>
    <col min="14083" max="14332" width="9.140625" style="485"/>
    <col min="14333" max="14333" width="30" style="485" customWidth="1"/>
    <col min="14334" max="14334" width="0" style="485" hidden="1" customWidth="1"/>
    <col min="14335" max="14335" width="15.7109375" style="485" customWidth="1"/>
    <col min="14336" max="14336" width="0" style="485" hidden="1" customWidth="1"/>
    <col min="14337" max="14337" width="16.7109375" style="485" customWidth="1"/>
    <col min="14338" max="14338" width="8.85546875" style="485" customWidth="1"/>
    <col min="14339" max="14588" width="9.140625" style="485"/>
    <col min="14589" max="14589" width="30" style="485" customWidth="1"/>
    <col min="14590" max="14590" width="0" style="485" hidden="1" customWidth="1"/>
    <col min="14591" max="14591" width="15.7109375" style="485" customWidth="1"/>
    <col min="14592" max="14592" width="0" style="485" hidden="1" customWidth="1"/>
    <col min="14593" max="14593" width="16.7109375" style="485" customWidth="1"/>
    <col min="14594" max="14594" width="8.85546875" style="485" customWidth="1"/>
    <col min="14595" max="14844" width="9.140625" style="485"/>
    <col min="14845" max="14845" width="30" style="485" customWidth="1"/>
    <col min="14846" max="14846" width="0" style="485" hidden="1" customWidth="1"/>
    <col min="14847" max="14847" width="15.7109375" style="485" customWidth="1"/>
    <col min="14848" max="14848" width="0" style="485" hidden="1" customWidth="1"/>
    <col min="14849" max="14849" width="16.7109375" style="485" customWidth="1"/>
    <col min="14850" max="14850" width="8.85546875" style="485" customWidth="1"/>
    <col min="14851" max="15100" width="9.140625" style="485"/>
    <col min="15101" max="15101" width="30" style="485" customWidth="1"/>
    <col min="15102" max="15102" width="0" style="485" hidden="1" customWidth="1"/>
    <col min="15103" max="15103" width="15.7109375" style="485" customWidth="1"/>
    <col min="15104" max="15104" width="0" style="485" hidden="1" customWidth="1"/>
    <col min="15105" max="15105" width="16.7109375" style="485" customWidth="1"/>
    <col min="15106" max="15106" width="8.85546875" style="485" customWidth="1"/>
    <col min="15107" max="15356" width="9.140625" style="485"/>
    <col min="15357" max="15357" width="30" style="485" customWidth="1"/>
    <col min="15358" max="15358" width="0" style="485" hidden="1" customWidth="1"/>
    <col min="15359" max="15359" width="15.7109375" style="485" customWidth="1"/>
    <col min="15360" max="15360" width="0" style="485" hidden="1" customWidth="1"/>
    <col min="15361" max="15361" width="16.7109375" style="485" customWidth="1"/>
    <col min="15362" max="15362" width="8.85546875" style="485" customWidth="1"/>
    <col min="15363" max="15612" width="9.140625" style="485"/>
    <col min="15613" max="15613" width="30" style="485" customWidth="1"/>
    <col min="15614" max="15614" width="0" style="485" hidden="1" customWidth="1"/>
    <col min="15615" max="15615" width="15.7109375" style="485" customWidth="1"/>
    <col min="15616" max="15616" width="0" style="485" hidden="1" customWidth="1"/>
    <col min="15617" max="15617" width="16.7109375" style="485" customWidth="1"/>
    <col min="15618" max="15618" width="8.85546875" style="485" customWidth="1"/>
    <col min="15619" max="15868" width="9.140625" style="485"/>
    <col min="15869" max="15869" width="30" style="485" customWidth="1"/>
    <col min="15870" max="15870" width="0" style="485" hidden="1" customWidth="1"/>
    <col min="15871" max="15871" width="15.7109375" style="485" customWidth="1"/>
    <col min="15872" max="15872" width="0" style="485" hidden="1" customWidth="1"/>
    <col min="15873" max="15873" width="16.7109375" style="485" customWidth="1"/>
    <col min="15874" max="15874" width="8.85546875" style="485" customWidth="1"/>
    <col min="15875" max="16124" width="9.140625" style="485"/>
    <col min="16125" max="16125" width="30" style="485" customWidth="1"/>
    <col min="16126" max="16126" width="0" style="485" hidden="1" customWidth="1"/>
    <col min="16127" max="16127" width="15.7109375" style="485" customWidth="1"/>
    <col min="16128" max="16128" width="0" style="485" hidden="1" customWidth="1"/>
    <col min="16129" max="16129" width="16.7109375" style="485" customWidth="1"/>
    <col min="16130" max="16130" width="8.85546875" style="485" customWidth="1"/>
    <col min="16131" max="16384" width="9.140625" style="485"/>
  </cols>
  <sheetData>
    <row r="1" spans="1:8" x14ac:dyDescent="0.25">
      <c r="A1" s="932"/>
      <c r="B1" s="932"/>
      <c r="C1" s="932"/>
      <c r="D1" s="932"/>
      <c r="E1" s="932"/>
      <c r="F1" s="932"/>
      <c r="G1" s="484"/>
      <c r="H1" s="484"/>
    </row>
    <row r="2" spans="1:8" x14ac:dyDescent="0.25">
      <c r="A2" s="931" t="s">
        <v>0</v>
      </c>
      <c r="B2" s="931"/>
      <c r="C2" s="931"/>
      <c r="D2" s="931"/>
      <c r="E2" s="931"/>
      <c r="F2" s="931"/>
    </row>
    <row r="3" spans="1:8" x14ac:dyDescent="0.25">
      <c r="A3" s="1"/>
      <c r="B3" s="1"/>
      <c r="C3" s="1"/>
      <c r="D3" s="1"/>
      <c r="E3" s="1"/>
      <c r="F3" s="1"/>
      <c r="G3" s="1"/>
    </row>
    <row r="4" spans="1:8" x14ac:dyDescent="0.25">
      <c r="A4" s="931" t="s">
        <v>367</v>
      </c>
      <c r="B4" s="931"/>
      <c r="C4" s="931"/>
      <c r="D4" s="931"/>
      <c r="E4" s="931"/>
      <c r="F4" s="938"/>
    </row>
    <row r="5" spans="1:8" x14ac:dyDescent="0.25">
      <c r="A5" s="1"/>
      <c r="B5" s="1"/>
      <c r="C5" s="1"/>
      <c r="D5" s="1"/>
      <c r="E5" s="1"/>
      <c r="F5" s="1"/>
      <c r="G5" s="1"/>
    </row>
    <row r="6" spans="1:8" x14ac:dyDescent="0.25">
      <c r="A6" s="931" t="s">
        <v>368</v>
      </c>
      <c r="B6" s="931"/>
      <c r="C6" s="931"/>
      <c r="D6" s="931"/>
      <c r="E6" s="931"/>
      <c r="F6" s="939"/>
    </row>
    <row r="7" spans="1:8" x14ac:dyDescent="0.25">
      <c r="A7" s="1"/>
      <c r="B7" s="1"/>
      <c r="C7" s="1"/>
      <c r="D7" s="1"/>
      <c r="E7" s="1"/>
      <c r="F7" s="1"/>
      <c r="G7" s="1"/>
    </row>
    <row r="8" spans="1:8" s="488" customFormat="1" ht="47.25" x14ac:dyDescent="0.25">
      <c r="A8" s="747" t="s">
        <v>265</v>
      </c>
      <c r="B8" s="598" t="s">
        <v>629</v>
      </c>
      <c r="C8" s="733" t="s">
        <v>608</v>
      </c>
      <c r="D8" s="741" t="s">
        <v>609</v>
      </c>
      <c r="E8" s="486" t="s">
        <v>617</v>
      </c>
      <c r="F8" s="487" t="s">
        <v>547</v>
      </c>
      <c r="G8" s="487" t="s">
        <v>547</v>
      </c>
    </row>
    <row r="9" spans="1:8" s="490" customFormat="1" ht="11.25" x14ac:dyDescent="0.2">
      <c r="A9" s="746">
        <v>1</v>
      </c>
      <c r="B9" s="746"/>
      <c r="C9" s="734">
        <v>2</v>
      </c>
      <c r="D9" s="742">
        <v>3</v>
      </c>
      <c r="E9" s="753">
        <v>4</v>
      </c>
      <c r="F9" s="489">
        <v>5</v>
      </c>
      <c r="G9" s="489">
        <v>5</v>
      </c>
    </row>
    <row r="10" spans="1:8" s="490" customFormat="1" ht="15" x14ac:dyDescent="0.2">
      <c r="A10" s="491" t="s">
        <v>369</v>
      </c>
      <c r="B10" s="735">
        <f>'RASHODI-ek.kl.'!D248</f>
        <v>2650450.4500000002</v>
      </c>
      <c r="C10" s="735">
        <f>'RASHODI-ek.kl.'!E248</f>
        <v>4725934.5699999994</v>
      </c>
      <c r="D10" s="735">
        <f>'RASHODI-ek.kl.'!F248</f>
        <v>4614031.7699999996</v>
      </c>
      <c r="E10" s="743">
        <f>'RASHODI-ek.kl.'!G248</f>
        <v>2566545.0700000003</v>
      </c>
      <c r="F10" s="614">
        <f>E10/C10*100</f>
        <v>54.30767252454789</v>
      </c>
      <c r="G10" s="816">
        <f t="shared" ref="G10:G15" si="0">E10/D10*100</f>
        <v>55.624781057803609</v>
      </c>
    </row>
    <row r="11" spans="1:8" s="493" customFormat="1" ht="15" x14ac:dyDescent="0.25">
      <c r="A11" s="492" t="s">
        <v>370</v>
      </c>
      <c r="B11" s="736">
        <f>B12</f>
        <v>2650450.4500000002</v>
      </c>
      <c r="C11" s="736">
        <f>C12</f>
        <v>4725934.57</v>
      </c>
      <c r="D11" s="736">
        <f>D12</f>
        <v>4614031.7699999996</v>
      </c>
      <c r="E11" s="744">
        <f t="shared" ref="E11" si="1">E12</f>
        <v>2566545.0700000003</v>
      </c>
      <c r="F11" s="748">
        <f t="shared" ref="F11:F12" si="2">E11/C11*100</f>
        <v>54.307672524547876</v>
      </c>
      <c r="G11" s="749">
        <f>E11/D11*100</f>
        <v>55.624781057803609</v>
      </c>
    </row>
    <row r="12" spans="1:8" s="493" customFormat="1" ht="15" x14ac:dyDescent="0.25">
      <c r="A12" s="492" t="s">
        <v>371</v>
      </c>
      <c r="B12" s="736">
        <f>B13+B14+B15</f>
        <v>2650450.4500000002</v>
      </c>
      <c r="C12" s="736">
        <f>C13+C14+C15</f>
        <v>4725934.57</v>
      </c>
      <c r="D12" s="736">
        <f>D13+D14+D15</f>
        <v>4614031.7699999996</v>
      </c>
      <c r="E12" s="744">
        <f t="shared" ref="E12" si="3">E13+E14+E15</f>
        <v>2566545.0700000003</v>
      </c>
      <c r="F12" s="748">
        <f t="shared" si="2"/>
        <v>54.307672524547876</v>
      </c>
      <c r="G12" s="749">
        <f t="shared" si="0"/>
        <v>55.624781057803609</v>
      </c>
    </row>
    <row r="13" spans="1:8" s="493" customFormat="1" ht="15" x14ac:dyDescent="0.25">
      <c r="A13" s="494" t="s">
        <v>372</v>
      </c>
      <c r="B13" s="737">
        <f t="shared" ref="B13" si="4">ROUND(B10*0.6,2)</f>
        <v>1590270.27</v>
      </c>
      <c r="C13" s="737">
        <f t="shared" ref="C13:E13" si="5">ROUND(C10*0.6,2)</f>
        <v>2835560.74</v>
      </c>
      <c r="D13" s="737">
        <f t="shared" ref="D13" si="6">ROUND(D10*0.6,2)</f>
        <v>2768419.06</v>
      </c>
      <c r="E13" s="745">
        <f t="shared" si="5"/>
        <v>1539927.04</v>
      </c>
      <c r="F13" s="749">
        <f>E13/C13*100</f>
        <v>54.307672492319803</v>
      </c>
      <c r="G13" s="749">
        <f>E13/D13*100</f>
        <v>55.624781025745428</v>
      </c>
    </row>
    <row r="14" spans="1:8" s="493" customFormat="1" ht="15" x14ac:dyDescent="0.25">
      <c r="A14" s="494" t="s">
        <v>373</v>
      </c>
      <c r="B14" s="737">
        <f t="shared" ref="B14" si="7">ROUND(B10*0.15,2)</f>
        <v>397567.57</v>
      </c>
      <c r="C14" s="737">
        <f t="shared" ref="C14:E14" si="8">ROUND(C10*0.15,2)</f>
        <v>708890.19</v>
      </c>
      <c r="D14" s="737">
        <f t="shared" ref="D14" si="9">ROUND(D10*0.15,2)</f>
        <v>692104.77</v>
      </c>
      <c r="E14" s="745">
        <f t="shared" si="8"/>
        <v>384981.76000000001</v>
      </c>
      <c r="F14" s="749">
        <f t="shared" ref="F14:F15" si="10">E14/C14*100</f>
        <v>54.307672109272673</v>
      </c>
      <c r="G14" s="749">
        <f t="shared" si="0"/>
        <v>55.624780623893109</v>
      </c>
    </row>
    <row r="15" spans="1:8" s="493" customFormat="1" ht="15" x14ac:dyDescent="0.25">
      <c r="A15" s="494" t="s">
        <v>374</v>
      </c>
      <c r="B15" s="737">
        <f t="shared" ref="B15" si="11">ROUND(B10*0.25,2)</f>
        <v>662612.61</v>
      </c>
      <c r="C15" s="737">
        <f t="shared" ref="C15:E15" si="12">ROUND(C10*0.25,2)</f>
        <v>1181483.6399999999</v>
      </c>
      <c r="D15" s="737">
        <f t="shared" ref="D15" si="13">ROUND(D10*0.25,2)</f>
        <v>1153507.94</v>
      </c>
      <c r="E15" s="745">
        <f t="shared" si="12"/>
        <v>641636.27</v>
      </c>
      <c r="F15" s="749">
        <f t="shared" si="10"/>
        <v>54.307672851060381</v>
      </c>
      <c r="G15" s="749">
        <f t="shared" si="0"/>
        <v>55.624781395089492</v>
      </c>
    </row>
    <row r="16" spans="1:8" s="496" customFormat="1" ht="15" x14ac:dyDescent="0.25">
      <c r="A16" s="495" t="s">
        <v>375</v>
      </c>
      <c r="B16" s="495"/>
      <c r="C16" s="738">
        <f>C17</f>
        <v>0</v>
      </c>
      <c r="D16" s="738">
        <f>D17</f>
        <v>0</v>
      </c>
      <c r="E16" s="744">
        <f>E17</f>
        <v>0</v>
      </c>
      <c r="F16" s="750">
        <f>F17</f>
        <v>0</v>
      </c>
      <c r="G16" s="750">
        <f>G17</f>
        <v>0</v>
      </c>
    </row>
    <row r="17" spans="1:7" s="499" customFormat="1" ht="15" x14ac:dyDescent="0.25">
      <c r="A17" s="497" t="s">
        <v>376</v>
      </c>
      <c r="B17" s="497"/>
      <c r="C17" s="739"/>
      <c r="D17" s="739"/>
      <c r="E17" s="498"/>
      <c r="F17" s="751"/>
      <c r="G17" s="751"/>
    </row>
    <row r="18" spans="1:7" s="500" customFormat="1" x14ac:dyDescent="0.25">
      <c r="A18" s="615" t="s">
        <v>377</v>
      </c>
      <c r="B18" s="871"/>
      <c r="C18" s="740">
        <v>0</v>
      </c>
      <c r="D18" s="740">
        <v>0</v>
      </c>
      <c r="E18" s="744">
        <v>0</v>
      </c>
      <c r="F18" s="752">
        <v>0</v>
      </c>
      <c r="G18" s="752">
        <v>0</v>
      </c>
    </row>
    <row r="21" spans="1:7" x14ac:dyDescent="0.25">
      <c r="F21" s="501"/>
      <c r="G21" s="501"/>
    </row>
  </sheetData>
  <mergeCells count="4">
    <mergeCell ref="A1:F1"/>
    <mergeCell ref="A2:F2"/>
    <mergeCell ref="A4:F4"/>
    <mergeCell ref="A6:F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678"/>
  <sheetViews>
    <sheetView workbookViewId="0">
      <selection activeCell="C441" sqref="C441"/>
    </sheetView>
  </sheetViews>
  <sheetFormatPr defaultRowHeight="15.75" x14ac:dyDescent="0.25"/>
  <cols>
    <col min="1" max="1" width="15.140625" style="458" bestFit="1" customWidth="1"/>
    <col min="2" max="2" width="65.5703125" style="458" bestFit="1" customWidth="1"/>
    <col min="3" max="3" width="24.42578125" style="458" customWidth="1"/>
    <col min="4" max="4" width="20" style="482" bestFit="1" customWidth="1"/>
    <col min="5" max="5" width="18.5703125" style="482" bestFit="1" customWidth="1"/>
    <col min="6" max="6" width="18.140625" style="483" bestFit="1" customWidth="1"/>
    <col min="7" max="8" width="9.85546875" style="683" bestFit="1" customWidth="1"/>
    <col min="9" max="9" width="14.140625" style="831" hidden="1" customWidth="1"/>
    <col min="10" max="10" width="11" style="765" hidden="1" customWidth="1"/>
    <col min="11" max="18" width="0" style="765" hidden="1" customWidth="1"/>
    <col min="19" max="16384" width="9.140625" style="765"/>
  </cols>
  <sheetData>
    <row r="1" spans="1:9" s="759" customFormat="1" x14ac:dyDescent="0.25">
      <c r="A1" s="932" t="s">
        <v>306</v>
      </c>
      <c r="B1" s="932"/>
      <c r="C1" s="932"/>
      <c r="D1" s="932"/>
      <c r="E1" s="932"/>
      <c r="F1" s="932"/>
      <c r="G1" s="932"/>
      <c r="H1" s="730"/>
      <c r="I1" s="833"/>
    </row>
    <row r="2" spans="1:9" s="759" customFormat="1" x14ac:dyDescent="0.25">
      <c r="A2" s="932" t="s">
        <v>307</v>
      </c>
      <c r="B2" s="932"/>
      <c r="C2" s="932"/>
      <c r="D2" s="932"/>
      <c r="E2" s="932"/>
      <c r="F2" s="932"/>
      <c r="G2" s="932"/>
      <c r="H2" s="730"/>
      <c r="I2" s="833"/>
    </row>
    <row r="3" spans="1:9" s="760" customFormat="1" x14ac:dyDescent="0.25">
      <c r="A3" s="412"/>
      <c r="B3" s="412"/>
      <c r="C3" s="412"/>
      <c r="D3" s="413"/>
      <c r="E3" s="413"/>
      <c r="F3" s="414"/>
      <c r="G3" s="680"/>
      <c r="H3" s="680"/>
      <c r="I3" s="834"/>
    </row>
    <row r="4" spans="1:9" s="760" customFormat="1" ht="31.5" x14ac:dyDescent="0.25">
      <c r="A4" s="415" t="s">
        <v>308</v>
      </c>
      <c r="B4" s="415" t="s">
        <v>309</v>
      </c>
      <c r="C4" s="598" t="s">
        <v>629</v>
      </c>
      <c r="D4" s="694" t="s">
        <v>608</v>
      </c>
      <c r="E4" s="502" t="s">
        <v>609</v>
      </c>
      <c r="F4" s="503" t="s">
        <v>615</v>
      </c>
      <c r="G4" s="504" t="s">
        <v>547</v>
      </c>
      <c r="H4" s="504" t="s">
        <v>547</v>
      </c>
      <c r="I4" s="834"/>
    </row>
    <row r="5" spans="1:9" s="761" customFormat="1" ht="21" x14ac:dyDescent="0.25">
      <c r="A5" s="416" t="s">
        <v>310</v>
      </c>
      <c r="B5" s="417" t="s">
        <v>311</v>
      </c>
      <c r="C5" s="541">
        <v>2</v>
      </c>
      <c r="D5" s="382">
        <v>3</v>
      </c>
      <c r="E5" s="382">
        <v>4</v>
      </c>
      <c r="F5" s="14">
        <v>5</v>
      </c>
      <c r="G5" s="14" t="s">
        <v>546</v>
      </c>
      <c r="H5" s="14" t="s">
        <v>551</v>
      </c>
      <c r="I5" s="830"/>
    </row>
    <row r="6" spans="1:9" s="760" customFormat="1" ht="18.75" x14ac:dyDescent="0.25">
      <c r="A6" s="822" t="s">
        <v>312</v>
      </c>
      <c r="B6" s="823" t="s">
        <v>313</v>
      </c>
      <c r="C6" s="418">
        <f>C7+C197+C297+C360+C376</f>
        <v>2504624.0900000003</v>
      </c>
      <c r="D6" s="418">
        <f>D7+D197+D297+D360+D376</f>
        <v>4247373.5</v>
      </c>
      <c r="E6" s="418">
        <f>E7+E197+E297+E360+E376+E402</f>
        <v>4193568.41</v>
      </c>
      <c r="F6" s="418">
        <f>F7+F197+F297+F360+F376+F396+F402</f>
        <v>2503927.6599999997</v>
      </c>
      <c r="G6" s="682">
        <f>F6/D6*100</f>
        <v>58.952377510477938</v>
      </c>
      <c r="H6" s="682">
        <f>F6/E6*100</f>
        <v>59.708759109047172</v>
      </c>
      <c r="I6" s="834"/>
    </row>
    <row r="7" spans="1:9" s="762" customFormat="1" x14ac:dyDescent="0.25">
      <c r="A7" s="820">
        <v>43</v>
      </c>
      <c r="B7" s="821" t="s">
        <v>56</v>
      </c>
      <c r="C7" s="456">
        <f>C8+C162</f>
        <v>2423075.8250000002</v>
      </c>
      <c r="D7" s="456">
        <f>D8+D162</f>
        <v>4009442.56</v>
      </c>
      <c r="E7" s="456">
        <f>E8+E162</f>
        <v>3895637.47</v>
      </c>
      <c r="F7" s="456">
        <f>F8+F162</f>
        <v>2351906.1749999998</v>
      </c>
      <c r="G7" s="819">
        <f>F7/D7*100</f>
        <v>58.659181165573294</v>
      </c>
      <c r="H7" s="819">
        <f>F7/E7*100</f>
        <v>60.37281941946204</v>
      </c>
      <c r="I7" s="835"/>
    </row>
    <row r="8" spans="1:9" s="763" customFormat="1" x14ac:dyDescent="0.25">
      <c r="A8" s="445">
        <v>3</v>
      </c>
      <c r="B8" s="446" t="s">
        <v>87</v>
      </c>
      <c r="C8" s="447">
        <f>C9+C32+C128+C140+C143+C148</f>
        <v>2419806.375</v>
      </c>
      <c r="D8" s="447">
        <f>D9+D32+D128+D140+D143+D148</f>
        <v>3883930.39</v>
      </c>
      <c r="E8" s="447">
        <f>E9+E32+E128+E140+E143+E148</f>
        <v>3770125.3000000003</v>
      </c>
      <c r="F8" s="447">
        <f>F9+F32+F128+F140+F143+F148</f>
        <v>2181986.1850000001</v>
      </c>
      <c r="G8" s="687">
        <f t="shared" ref="G8:G69" si="0">F8/D8*100</f>
        <v>56.179847883422028</v>
      </c>
      <c r="H8" s="687">
        <f t="shared" ref="H8:H70" si="1">F8/E8*100</f>
        <v>57.875694078390438</v>
      </c>
      <c r="I8" s="836"/>
    </row>
    <row r="9" spans="1:9" s="760" customFormat="1" x14ac:dyDescent="0.25">
      <c r="A9" s="419">
        <v>31</v>
      </c>
      <c r="B9" s="420" t="s">
        <v>88</v>
      </c>
      <c r="C9" s="421">
        <f>C10+C19+C27</f>
        <v>2006367.09</v>
      </c>
      <c r="D9" s="421">
        <f>D10+D19+D27</f>
        <v>3042112.29</v>
      </c>
      <c r="E9" s="421">
        <f>E10+E19+E27</f>
        <v>3042112.29</v>
      </c>
      <c r="F9" s="421">
        <f t="shared" ref="F9" si="2">F10+F19+F27</f>
        <v>1886674.44</v>
      </c>
      <c r="G9" s="684">
        <f t="shared" si="0"/>
        <v>62.018566711092703</v>
      </c>
      <c r="H9" s="684">
        <f t="shared" si="1"/>
        <v>62.018566711092703</v>
      </c>
      <c r="I9" s="834"/>
    </row>
    <row r="10" spans="1:9" s="764" customFormat="1" x14ac:dyDescent="0.25">
      <c r="A10" s="422">
        <v>311</v>
      </c>
      <c r="B10" s="423" t="s">
        <v>89</v>
      </c>
      <c r="C10" s="424">
        <f>C11+C14+C15+C17</f>
        <v>1692619.54</v>
      </c>
      <c r="D10" s="424">
        <f>D11+D14+D15+D17</f>
        <v>2505491.41</v>
      </c>
      <c r="E10" s="424">
        <f>E11+E14+E15+E17</f>
        <v>2505491.41</v>
      </c>
      <c r="F10" s="424">
        <f t="shared" ref="F10" si="3">F11+F14+F15+F17</f>
        <v>1630599.25</v>
      </c>
      <c r="G10" s="685">
        <f t="shared" si="0"/>
        <v>65.081015384522914</v>
      </c>
      <c r="H10" s="685">
        <f t="shared" si="1"/>
        <v>65.081015384522914</v>
      </c>
      <c r="I10" s="837"/>
    </row>
    <row r="11" spans="1:9" s="764" customFormat="1" x14ac:dyDescent="0.25">
      <c r="A11" s="463">
        <v>3111</v>
      </c>
      <c r="B11" s="466" t="s">
        <v>90</v>
      </c>
      <c r="C11" s="424">
        <f>SUM(C12:C13)</f>
        <v>1607506.55</v>
      </c>
      <c r="D11" s="424">
        <f>SUM(D12:D13)</f>
        <v>2456383.9700000002</v>
      </c>
      <c r="E11" s="424">
        <f>SUM(E12:E13)</f>
        <v>2456383.9700000002</v>
      </c>
      <c r="F11" s="424">
        <f>SUM(F12:F13)</f>
        <v>1576823.25</v>
      </c>
      <c r="G11" s="685">
        <f t="shared" si="0"/>
        <v>64.192865173273375</v>
      </c>
      <c r="H11" s="685">
        <f t="shared" si="1"/>
        <v>64.192865173273375</v>
      </c>
      <c r="I11" s="837"/>
    </row>
    <row r="12" spans="1:9" x14ac:dyDescent="0.25">
      <c r="A12" s="425" t="s">
        <v>466</v>
      </c>
      <c r="B12" s="426" t="s">
        <v>90</v>
      </c>
      <c r="C12" s="523">
        <v>1605790.56</v>
      </c>
      <c r="D12" s="523">
        <v>2451383.9700000002</v>
      </c>
      <c r="E12" s="523">
        <v>2451383.9700000002</v>
      </c>
      <c r="F12" s="523">
        <f>1628846-F202-F302-F480-F499-F518-F537-F615</f>
        <v>1576823.25</v>
      </c>
      <c r="G12" s="685">
        <f t="shared" si="0"/>
        <v>64.32379705901397</v>
      </c>
      <c r="H12" s="685">
        <f>F12/E12*100</f>
        <v>64.32379705901397</v>
      </c>
    </row>
    <row r="13" spans="1:9" x14ac:dyDescent="0.25">
      <c r="A13" s="425" t="s">
        <v>467</v>
      </c>
      <c r="B13" s="426" t="s">
        <v>381</v>
      </c>
      <c r="C13" s="523">
        <v>1715.99</v>
      </c>
      <c r="D13" s="523">
        <v>5000</v>
      </c>
      <c r="E13" s="523">
        <v>5000</v>
      </c>
      <c r="F13" s="523"/>
      <c r="G13" s="685">
        <f t="shared" si="0"/>
        <v>0</v>
      </c>
      <c r="H13" s="685">
        <f t="shared" si="1"/>
        <v>0</v>
      </c>
    </row>
    <row r="14" spans="1:9" x14ac:dyDescent="0.25">
      <c r="A14" s="463" t="s">
        <v>91</v>
      </c>
      <c r="B14" s="466" t="s">
        <v>92</v>
      </c>
      <c r="C14" s="524"/>
      <c r="D14" s="524"/>
      <c r="E14" s="524"/>
      <c r="F14" s="524"/>
      <c r="G14" s="685" t="e">
        <f t="shared" si="0"/>
        <v>#DIV/0!</v>
      </c>
      <c r="H14" s="685" t="e">
        <f t="shared" si="1"/>
        <v>#DIV/0!</v>
      </c>
    </row>
    <row r="15" spans="1:9" x14ac:dyDescent="0.25">
      <c r="A15" s="463" t="s">
        <v>93</v>
      </c>
      <c r="B15" s="466" t="s">
        <v>94</v>
      </c>
      <c r="C15" s="524">
        <f>SUM(C16)</f>
        <v>43363.13</v>
      </c>
      <c r="D15" s="524">
        <f>SUM(D16)</f>
        <v>49107.44</v>
      </c>
      <c r="E15" s="524">
        <f>SUM(E16)</f>
        <v>49107.44</v>
      </c>
      <c r="F15" s="524">
        <f t="shared" ref="F15" si="4">SUM(F16)</f>
        <v>53776</v>
      </c>
      <c r="G15" s="685">
        <f t="shared" si="0"/>
        <v>109.50682829322807</v>
      </c>
      <c r="H15" s="685">
        <f t="shared" si="1"/>
        <v>109.50682829322807</v>
      </c>
    </row>
    <row r="16" spans="1:9" x14ac:dyDescent="0.25">
      <c r="A16" s="425" t="s">
        <v>468</v>
      </c>
      <c r="B16" s="426" t="s">
        <v>94</v>
      </c>
      <c r="C16" s="523">
        <v>43363.13</v>
      </c>
      <c r="D16" s="523">
        <v>49107.44</v>
      </c>
      <c r="E16" s="523">
        <v>49107.44</v>
      </c>
      <c r="F16" s="523">
        <f>53776</f>
        <v>53776</v>
      </c>
      <c r="G16" s="685">
        <f>F16/D16*100</f>
        <v>109.50682829322807</v>
      </c>
      <c r="H16" s="685">
        <f t="shared" si="1"/>
        <v>109.50682829322807</v>
      </c>
    </row>
    <row r="17" spans="1:9" x14ac:dyDescent="0.25">
      <c r="A17" s="463" t="s">
        <v>95</v>
      </c>
      <c r="B17" s="466" t="s">
        <v>211</v>
      </c>
      <c r="C17" s="524">
        <f>SUM(C18)</f>
        <v>41749.86</v>
      </c>
      <c r="D17" s="524">
        <f>SUM(D18)</f>
        <v>0</v>
      </c>
      <c r="E17" s="524">
        <f>SUM(E18)</f>
        <v>0</v>
      </c>
      <c r="F17" s="524">
        <f t="shared" ref="F17" si="5">SUM(F18)</f>
        <v>0</v>
      </c>
      <c r="G17" s="685" t="e">
        <f t="shared" si="0"/>
        <v>#DIV/0!</v>
      </c>
      <c r="H17" s="685" t="e">
        <f t="shared" si="1"/>
        <v>#DIV/0!</v>
      </c>
    </row>
    <row r="18" spans="1:9" x14ac:dyDescent="0.25">
      <c r="A18" s="425" t="s">
        <v>469</v>
      </c>
      <c r="B18" s="426" t="s">
        <v>211</v>
      </c>
      <c r="C18" s="523">
        <v>41749.86</v>
      </c>
      <c r="D18" s="523">
        <v>0</v>
      </c>
      <c r="E18" s="523"/>
      <c r="F18" s="523">
        <f>0-F206-F568</f>
        <v>0</v>
      </c>
      <c r="G18" s="685" t="e">
        <f t="shared" si="0"/>
        <v>#DIV/0!</v>
      </c>
      <c r="H18" s="685" t="e">
        <f t="shared" si="1"/>
        <v>#DIV/0!</v>
      </c>
    </row>
    <row r="19" spans="1:9" x14ac:dyDescent="0.25">
      <c r="A19" s="422" t="s">
        <v>97</v>
      </c>
      <c r="B19" s="423" t="s">
        <v>98</v>
      </c>
      <c r="C19" s="424">
        <f>C20</f>
        <v>46531.28</v>
      </c>
      <c r="D19" s="424">
        <f>D20</f>
        <v>123214.88</v>
      </c>
      <c r="E19" s="424">
        <f>E20</f>
        <v>123214.88</v>
      </c>
      <c r="F19" s="424">
        <f t="shared" ref="F19" si="6">F20</f>
        <v>26084.95</v>
      </c>
      <c r="G19" s="685">
        <f t="shared" si="0"/>
        <v>21.170292094591172</v>
      </c>
      <c r="H19" s="685">
        <f t="shared" si="1"/>
        <v>21.170292094591172</v>
      </c>
    </row>
    <row r="20" spans="1:9" x14ac:dyDescent="0.25">
      <c r="A20" s="463" t="s">
        <v>99</v>
      </c>
      <c r="B20" s="466" t="s">
        <v>98</v>
      </c>
      <c r="C20" s="424">
        <f>SUM(C21:C26)</f>
        <v>46531.28</v>
      </c>
      <c r="D20" s="424">
        <f>SUM(D21:D26)</f>
        <v>123214.88</v>
      </c>
      <c r="E20" s="424">
        <f>SUM(E21:E26)</f>
        <v>123214.88</v>
      </c>
      <c r="F20" s="424">
        <f t="shared" ref="F20" si="7">SUM(F21:F26)</f>
        <v>26084.95</v>
      </c>
      <c r="G20" s="685">
        <f t="shared" si="0"/>
        <v>21.170292094591172</v>
      </c>
      <c r="H20" s="685">
        <f t="shared" si="1"/>
        <v>21.170292094591172</v>
      </c>
    </row>
    <row r="21" spans="1:9" x14ac:dyDescent="0.25">
      <c r="A21" s="468" t="s">
        <v>470</v>
      </c>
      <c r="B21" s="476" t="s">
        <v>383</v>
      </c>
      <c r="C21" s="429">
        <v>22279.33</v>
      </c>
      <c r="D21" s="429">
        <v>13000</v>
      </c>
      <c r="E21" s="865">
        <v>13000</v>
      </c>
      <c r="F21" s="429">
        <f>10039.91</f>
        <v>10039.91</v>
      </c>
      <c r="G21" s="685">
        <f t="shared" si="0"/>
        <v>77.230076923076922</v>
      </c>
      <c r="H21" s="685">
        <f t="shared" si="1"/>
        <v>77.230076923076922</v>
      </c>
    </row>
    <row r="22" spans="1:9" x14ac:dyDescent="0.25">
      <c r="A22" s="468" t="s">
        <v>471</v>
      </c>
      <c r="B22" s="476" t="s">
        <v>385</v>
      </c>
      <c r="C22" s="429">
        <v>22436.17</v>
      </c>
      <c r="D22" s="429">
        <v>25000</v>
      </c>
      <c r="E22" s="865">
        <v>25000</v>
      </c>
      <c r="F22" s="429">
        <f>13062.16</f>
        <v>13062.16</v>
      </c>
      <c r="G22" s="685">
        <f t="shared" si="0"/>
        <v>52.248640000000002</v>
      </c>
      <c r="H22" s="685">
        <f t="shared" si="1"/>
        <v>52.248640000000002</v>
      </c>
    </row>
    <row r="23" spans="1:9" x14ac:dyDescent="0.25">
      <c r="A23" s="468" t="s">
        <v>472</v>
      </c>
      <c r="B23" s="476" t="s">
        <v>384</v>
      </c>
      <c r="C23" s="429">
        <v>0</v>
      </c>
      <c r="D23" s="429">
        <v>2000</v>
      </c>
      <c r="E23" s="865">
        <v>2000</v>
      </c>
      <c r="F23" s="429">
        <v>0</v>
      </c>
      <c r="G23" s="685">
        <f t="shared" si="0"/>
        <v>0</v>
      </c>
      <c r="H23" s="685">
        <f t="shared" si="1"/>
        <v>0</v>
      </c>
    </row>
    <row r="24" spans="1:9" x14ac:dyDescent="0.25">
      <c r="A24" s="468" t="s">
        <v>473</v>
      </c>
      <c r="B24" s="476" t="s">
        <v>386</v>
      </c>
      <c r="C24" s="429">
        <v>1815.78</v>
      </c>
      <c r="D24" s="429">
        <v>3800</v>
      </c>
      <c r="E24" s="865">
        <v>3800</v>
      </c>
      <c r="F24" s="429">
        <f>2082.88</f>
        <v>2082.88</v>
      </c>
      <c r="G24" s="685">
        <f t="shared" si="0"/>
        <v>54.812631578947368</v>
      </c>
      <c r="H24" s="685">
        <f t="shared" si="1"/>
        <v>54.812631578947368</v>
      </c>
    </row>
    <row r="25" spans="1:9" x14ac:dyDescent="0.25">
      <c r="A25" s="468" t="s">
        <v>474</v>
      </c>
      <c r="B25" s="476" t="s">
        <v>387</v>
      </c>
      <c r="C25" s="429">
        <v>0</v>
      </c>
      <c r="D25" s="429">
        <v>40000</v>
      </c>
      <c r="E25" s="865">
        <v>40000</v>
      </c>
      <c r="F25" s="429">
        <f>900-F540</f>
        <v>900</v>
      </c>
      <c r="G25" s="685">
        <f t="shared" si="0"/>
        <v>2.25</v>
      </c>
      <c r="H25" s="685">
        <f t="shared" si="1"/>
        <v>2.25</v>
      </c>
    </row>
    <row r="26" spans="1:9" s="766" customFormat="1" x14ac:dyDescent="0.25">
      <c r="A26" s="468" t="s">
        <v>475</v>
      </c>
      <c r="B26" s="476" t="s">
        <v>382</v>
      </c>
      <c r="C26" s="523">
        <v>0</v>
      </c>
      <c r="D26" s="523">
        <f>123214.88-D21-D22-D23-D24-D25</f>
        <v>39414.880000000005</v>
      </c>
      <c r="E26" s="523">
        <v>39414.880000000005</v>
      </c>
      <c r="F26" s="523">
        <f>0-F209-F541</f>
        <v>0</v>
      </c>
      <c r="G26" s="685">
        <f t="shared" si="0"/>
        <v>0</v>
      </c>
      <c r="H26" s="685">
        <f t="shared" si="1"/>
        <v>0</v>
      </c>
      <c r="I26" s="838"/>
    </row>
    <row r="27" spans="1:9" s="764" customFormat="1" x14ac:dyDescent="0.25">
      <c r="A27" s="427">
        <v>313</v>
      </c>
      <c r="B27" s="423" t="s">
        <v>100</v>
      </c>
      <c r="C27" s="424">
        <f>C28+C30</f>
        <v>267216.27</v>
      </c>
      <c r="D27" s="424">
        <f>D28+D30</f>
        <v>413406</v>
      </c>
      <c r="E27" s="424">
        <f>E28+E30</f>
        <v>413406</v>
      </c>
      <c r="F27" s="800">
        <f t="shared" ref="F27" si="8">F28+F30</f>
        <v>229990.24</v>
      </c>
      <c r="G27" s="685">
        <f t="shared" si="0"/>
        <v>55.63301935627446</v>
      </c>
      <c r="H27" s="685">
        <f t="shared" si="1"/>
        <v>55.63301935627446</v>
      </c>
      <c r="I27" s="837"/>
    </row>
    <row r="28" spans="1:9" s="764" customFormat="1" x14ac:dyDescent="0.25">
      <c r="A28" s="521">
        <v>3132</v>
      </c>
      <c r="B28" s="466" t="s">
        <v>101</v>
      </c>
      <c r="C28" s="424">
        <f>SUM(C29)</f>
        <v>267178.53000000003</v>
      </c>
      <c r="D28" s="424">
        <f>SUM(D29)</f>
        <v>413406</v>
      </c>
      <c r="E28" s="424">
        <f>SUM(E29)</f>
        <v>413406</v>
      </c>
      <c r="F28" s="800">
        <f t="shared" ref="F28" si="9">SUM(F29)</f>
        <v>229990.24</v>
      </c>
      <c r="G28" s="685">
        <f t="shared" si="0"/>
        <v>55.63301935627446</v>
      </c>
      <c r="H28" s="685">
        <f t="shared" si="1"/>
        <v>55.63301935627446</v>
      </c>
      <c r="I28" s="837"/>
    </row>
    <row r="29" spans="1:9" x14ac:dyDescent="0.25">
      <c r="A29" s="522" t="s">
        <v>476</v>
      </c>
      <c r="B29" s="476" t="s">
        <v>101</v>
      </c>
      <c r="C29" s="523">
        <v>267178.53000000003</v>
      </c>
      <c r="D29" s="523">
        <v>413406</v>
      </c>
      <c r="E29" s="523">
        <f>413406</f>
        <v>413406</v>
      </c>
      <c r="F29" s="523">
        <f>273903.11+649.44-F212-F309-F401-F485-F504-F523-F544-F574-F618</f>
        <v>229990.24</v>
      </c>
      <c r="G29" s="685">
        <f t="shared" si="0"/>
        <v>55.63301935627446</v>
      </c>
      <c r="H29" s="685">
        <f t="shared" si="1"/>
        <v>55.63301935627446</v>
      </c>
    </row>
    <row r="30" spans="1:9" x14ac:dyDescent="0.25">
      <c r="A30" s="521" t="s">
        <v>314</v>
      </c>
      <c r="B30" s="466" t="s">
        <v>571</v>
      </c>
      <c r="C30" s="424">
        <f>C31</f>
        <v>37.74</v>
      </c>
      <c r="D30" s="424">
        <f>D31</f>
        <v>0</v>
      </c>
      <c r="E30" s="424">
        <f>E31</f>
        <v>0</v>
      </c>
      <c r="F30" s="800">
        <f>F31</f>
        <v>0</v>
      </c>
      <c r="G30" s="685" t="e">
        <f t="shared" si="0"/>
        <v>#DIV/0!</v>
      </c>
      <c r="H30" s="685" t="e">
        <f t="shared" si="1"/>
        <v>#DIV/0!</v>
      </c>
    </row>
    <row r="31" spans="1:9" x14ac:dyDescent="0.25">
      <c r="A31" s="522" t="s">
        <v>569</v>
      </c>
      <c r="B31" s="476" t="s">
        <v>570</v>
      </c>
      <c r="C31" s="429">
        <v>37.74</v>
      </c>
      <c r="D31" s="429"/>
      <c r="E31" s="429"/>
      <c r="F31" s="429">
        <f>0</f>
        <v>0</v>
      </c>
      <c r="G31" s="685" t="e">
        <f t="shared" si="0"/>
        <v>#DIV/0!</v>
      </c>
      <c r="H31" s="685" t="e">
        <f t="shared" si="1"/>
        <v>#DIV/0!</v>
      </c>
    </row>
    <row r="32" spans="1:9" x14ac:dyDescent="0.25">
      <c r="A32" s="419">
        <v>32</v>
      </c>
      <c r="B32" s="420" t="s">
        <v>102</v>
      </c>
      <c r="C32" s="421">
        <f>C33+C45+C70+C101+C108</f>
        <v>400850.38500000001</v>
      </c>
      <c r="D32" s="421">
        <f>D33+D45+D70+D101+D108</f>
        <v>829345.58000000007</v>
      </c>
      <c r="E32" s="421">
        <f>E33+E45+E70+E101+E104+E108</f>
        <v>715540.49000000011</v>
      </c>
      <c r="F32" s="421">
        <f t="shared" ref="F32:G32" si="10">F33+F45+F70+F101+F104+F108</f>
        <v>292040.375</v>
      </c>
      <c r="G32" s="421" t="e">
        <f t="shared" si="10"/>
        <v>#DIV/0!</v>
      </c>
      <c r="H32" s="684">
        <f t="shared" si="1"/>
        <v>40.813955196302018</v>
      </c>
    </row>
    <row r="33" spans="1:9" s="764" customFormat="1" x14ac:dyDescent="0.25">
      <c r="A33" s="422">
        <v>321</v>
      </c>
      <c r="B33" s="423" t="s">
        <v>103</v>
      </c>
      <c r="C33" s="424">
        <f>C34+C38+C40+C43-0.01</f>
        <v>54208.845000000001</v>
      </c>
      <c r="D33" s="424">
        <f>D34+D38+D40+D43</f>
        <v>106441.57</v>
      </c>
      <c r="E33" s="424">
        <f>E34+E38+E40+E43</f>
        <v>106441.57</v>
      </c>
      <c r="F33" s="424">
        <f t="shared" ref="F33:G33" si="11">F34+F38+F40+F43</f>
        <v>44479.619999999995</v>
      </c>
      <c r="G33" s="424">
        <f t="shared" si="11"/>
        <v>150.35818694211613</v>
      </c>
      <c r="H33" s="685">
        <f t="shared" si="1"/>
        <v>41.787827819525766</v>
      </c>
      <c r="I33" s="837"/>
    </row>
    <row r="34" spans="1:9" s="764" customFormat="1" x14ac:dyDescent="0.25">
      <c r="A34" s="463" t="s">
        <v>104</v>
      </c>
      <c r="B34" s="466" t="s">
        <v>105</v>
      </c>
      <c r="C34" s="424">
        <f>SUM(C35:C37)</f>
        <v>1130.6500000000001</v>
      </c>
      <c r="D34" s="424">
        <f>SUM(D35:D37)</f>
        <v>18977.240000000002</v>
      </c>
      <c r="E34" s="424">
        <f>SUM(E35:E37)</f>
        <v>18977.240000000002</v>
      </c>
      <c r="F34" s="424">
        <f t="shared" ref="F34:G34" si="12">SUM(F35:F37)</f>
        <v>1201.3900000000003</v>
      </c>
      <c r="G34" s="424">
        <f t="shared" si="12"/>
        <v>41.802931516447323</v>
      </c>
      <c r="H34" s="685">
        <f t="shared" si="1"/>
        <v>6.3306887619063694</v>
      </c>
      <c r="I34" s="837"/>
    </row>
    <row r="35" spans="1:9" s="764" customFormat="1" x14ac:dyDescent="0.25">
      <c r="A35" s="468">
        <v>32111</v>
      </c>
      <c r="B35" s="476" t="s">
        <v>388</v>
      </c>
      <c r="C35" s="429">
        <f>3945-C365</f>
        <v>1130.6500000000001</v>
      </c>
      <c r="D35" s="429">
        <v>11800</v>
      </c>
      <c r="E35" s="429">
        <v>11800</v>
      </c>
      <c r="F35" s="429">
        <f>2854.32-F365-F548-F622</f>
        <v>825.00000000000023</v>
      </c>
      <c r="G35" s="685">
        <f t="shared" si="0"/>
        <v>6.9915254237288158</v>
      </c>
      <c r="H35" s="685">
        <f t="shared" si="1"/>
        <v>6.9915254237288158</v>
      </c>
      <c r="I35" s="837"/>
    </row>
    <row r="36" spans="1:9" s="764" customFormat="1" x14ac:dyDescent="0.25">
      <c r="A36" s="468">
        <v>32113</v>
      </c>
      <c r="B36" s="476" t="s">
        <v>390</v>
      </c>
      <c r="C36" s="429">
        <v>0</v>
      </c>
      <c r="D36" s="429">
        <v>700</v>
      </c>
      <c r="E36" s="429">
        <v>700</v>
      </c>
      <c r="F36" s="429">
        <f>827.6-F623</f>
        <v>227.60000000000002</v>
      </c>
      <c r="G36" s="685">
        <f t="shared" si="0"/>
        <v>32.51428571428572</v>
      </c>
      <c r="H36" s="685">
        <f t="shared" si="1"/>
        <v>32.51428571428572</v>
      </c>
      <c r="I36" s="837"/>
    </row>
    <row r="37" spans="1:9" x14ac:dyDescent="0.25">
      <c r="A37" s="468">
        <v>32115</v>
      </c>
      <c r="B37" s="476" t="s">
        <v>391</v>
      </c>
      <c r="C37" s="523">
        <f>992.9-C366</f>
        <v>0</v>
      </c>
      <c r="D37" s="523">
        <f>18977.24-D35-D36</f>
        <v>6477.2400000000016</v>
      </c>
      <c r="E37" s="523">
        <v>6477.2400000000016</v>
      </c>
      <c r="F37" s="523">
        <f>851.5-F216-F366-F624</f>
        <v>148.79000000000008</v>
      </c>
      <c r="G37" s="685">
        <f t="shared" si="0"/>
        <v>2.29712037843279</v>
      </c>
      <c r="H37" s="685">
        <f t="shared" si="1"/>
        <v>2.29712037843279</v>
      </c>
    </row>
    <row r="38" spans="1:9" x14ac:dyDescent="0.25">
      <c r="A38" s="463" t="s">
        <v>106</v>
      </c>
      <c r="B38" s="479" t="s">
        <v>107</v>
      </c>
      <c r="C38" s="524">
        <f>SUM(C39)</f>
        <v>48896.01</v>
      </c>
      <c r="D38" s="524">
        <f>SUM(D39)</f>
        <v>82288.14</v>
      </c>
      <c r="E38" s="524">
        <f>SUM(E39)</f>
        <v>82288.14</v>
      </c>
      <c r="F38" s="524">
        <f t="shared" ref="F38:G38" si="13">SUM(F39)</f>
        <v>40439.539999999994</v>
      </c>
      <c r="G38" s="524">
        <f t="shared" si="13"/>
        <v>49.14382558653044</v>
      </c>
      <c r="H38" s="685">
        <f t="shared" si="1"/>
        <v>49.14382558653044</v>
      </c>
    </row>
    <row r="39" spans="1:9" s="766" customFormat="1" x14ac:dyDescent="0.25">
      <c r="A39" s="425" t="s">
        <v>477</v>
      </c>
      <c r="B39" s="430" t="s">
        <v>107</v>
      </c>
      <c r="C39" s="523">
        <v>48896.01</v>
      </c>
      <c r="D39" s="523">
        <v>82288.14</v>
      </c>
      <c r="E39" s="523">
        <v>82288.14</v>
      </c>
      <c r="F39" s="523">
        <f>47964.81+339.77-F218-F550-F626</f>
        <v>40439.539999999994</v>
      </c>
      <c r="G39" s="685">
        <f t="shared" si="0"/>
        <v>49.14382558653044</v>
      </c>
      <c r="H39" s="685">
        <f t="shared" si="1"/>
        <v>49.14382558653044</v>
      </c>
      <c r="I39" s="838"/>
    </row>
    <row r="40" spans="1:9" s="766" customFormat="1" x14ac:dyDescent="0.25">
      <c r="A40" s="463" t="s">
        <v>108</v>
      </c>
      <c r="B40" s="479" t="s">
        <v>109</v>
      </c>
      <c r="C40" s="524">
        <f>SUM(C41:C42)</f>
        <v>4182.1949999999997</v>
      </c>
      <c r="D40" s="524">
        <f>SUM(D41:D42)</f>
        <v>4778.0200000000004</v>
      </c>
      <c r="E40" s="524">
        <f>SUM(E41:E42)</f>
        <v>4778.0200000000004</v>
      </c>
      <c r="F40" s="524">
        <f>SUM(F41:F42)</f>
        <v>2838.69</v>
      </c>
      <c r="G40" s="685">
        <f t="shared" si="0"/>
        <v>59.411429839138385</v>
      </c>
      <c r="H40" s="685">
        <f t="shared" si="1"/>
        <v>59.411429839138385</v>
      </c>
      <c r="I40" s="838"/>
    </row>
    <row r="41" spans="1:9" s="766" customFormat="1" x14ac:dyDescent="0.25">
      <c r="A41" s="425">
        <v>32131</v>
      </c>
      <c r="B41" s="430" t="s">
        <v>392</v>
      </c>
      <c r="C41" s="523">
        <v>480</v>
      </c>
      <c r="D41" s="523">
        <v>2200</v>
      </c>
      <c r="E41" s="523">
        <v>2200</v>
      </c>
      <c r="F41" s="523">
        <f>802.5</f>
        <v>802.5</v>
      </c>
      <c r="G41" s="685">
        <f t="shared" si="0"/>
        <v>36.477272727272727</v>
      </c>
      <c r="H41" s="685">
        <f t="shared" si="1"/>
        <v>36.477272727272727</v>
      </c>
      <c r="I41" s="838"/>
    </row>
    <row r="42" spans="1:9" x14ac:dyDescent="0.25">
      <c r="A42" s="425">
        <v>32132</v>
      </c>
      <c r="B42" s="430" t="s">
        <v>393</v>
      </c>
      <c r="C42" s="523">
        <v>3702.1950000000002</v>
      </c>
      <c r="D42" s="523">
        <f>4778.02-D41</f>
        <v>2578.0200000000004</v>
      </c>
      <c r="E42" s="523">
        <v>2578.0200000000004</v>
      </c>
      <c r="F42" s="523">
        <f>2368-F220-F552-F628</f>
        <v>2036.19</v>
      </c>
      <c r="G42" s="685">
        <f t="shared" si="0"/>
        <v>78.982707659366483</v>
      </c>
      <c r="H42" s="685">
        <f t="shared" si="1"/>
        <v>78.982707659366483</v>
      </c>
    </row>
    <row r="43" spans="1:9" x14ac:dyDescent="0.25">
      <c r="A43" s="463" t="s">
        <v>110</v>
      </c>
      <c r="B43" s="479" t="s">
        <v>111</v>
      </c>
      <c r="C43" s="524">
        <f>SUM(C44)</f>
        <v>0</v>
      </c>
      <c r="D43" s="524">
        <f>SUM(D44)</f>
        <v>398.17</v>
      </c>
      <c r="E43" s="524">
        <f>SUM(E44)</f>
        <v>398.17</v>
      </c>
      <c r="F43" s="524">
        <f t="shared" ref="F43" si="14">SUM(F44)</f>
        <v>0</v>
      </c>
      <c r="G43" s="685">
        <f t="shared" si="0"/>
        <v>0</v>
      </c>
      <c r="H43" s="685">
        <f t="shared" si="1"/>
        <v>0</v>
      </c>
    </row>
    <row r="44" spans="1:9" x14ac:dyDescent="0.25">
      <c r="A44" s="468" t="s">
        <v>478</v>
      </c>
      <c r="B44" s="478" t="s">
        <v>394</v>
      </c>
      <c r="C44" s="523">
        <v>0</v>
      </c>
      <c r="D44" s="523">
        <v>398.17</v>
      </c>
      <c r="E44" s="523">
        <v>398.17</v>
      </c>
      <c r="F44" s="523">
        <v>0</v>
      </c>
      <c r="G44" s="685">
        <f t="shared" si="0"/>
        <v>0</v>
      </c>
      <c r="H44" s="685">
        <f t="shared" si="1"/>
        <v>0</v>
      </c>
    </row>
    <row r="45" spans="1:9" x14ac:dyDescent="0.25">
      <c r="A45" s="422" t="s">
        <v>112</v>
      </c>
      <c r="B45" s="431" t="s">
        <v>113</v>
      </c>
      <c r="C45" s="424">
        <f>C46+C52+C56+C61+C66+C68</f>
        <v>217379.58000000002</v>
      </c>
      <c r="D45" s="424">
        <f>D46+D52+D56+D61+D66+D68</f>
        <v>431866.74</v>
      </c>
      <c r="E45" s="424">
        <f>E46+E52+E56+E61+E66+E68</f>
        <v>146061.65000000002</v>
      </c>
      <c r="F45" s="424">
        <f t="shared" ref="F45" si="15">F46+F52+F56+F61+F66+F68</f>
        <v>59362.920000000006</v>
      </c>
      <c r="G45" s="685">
        <f t="shared" si="0"/>
        <v>13.745656819971829</v>
      </c>
      <c r="H45" s="685">
        <f t="shared" si="1"/>
        <v>40.64237258719178</v>
      </c>
    </row>
    <row r="46" spans="1:9" x14ac:dyDescent="0.25">
      <c r="A46" s="463" t="s">
        <v>114</v>
      </c>
      <c r="B46" s="466" t="s">
        <v>115</v>
      </c>
      <c r="C46" s="424">
        <f>SUM(C47:C51)</f>
        <v>17785.620000000003</v>
      </c>
      <c r="D46" s="424">
        <f>SUM(D47:D51)</f>
        <v>29862.63</v>
      </c>
      <c r="E46" s="424">
        <f>SUM(E47:E51)</f>
        <v>29862.63</v>
      </c>
      <c r="F46" s="424">
        <f>SUM(F47:F51)</f>
        <v>13387.220000000001</v>
      </c>
      <c r="G46" s="685">
        <f t="shared" si="0"/>
        <v>44.829340215513511</v>
      </c>
      <c r="H46" s="685">
        <f t="shared" si="1"/>
        <v>44.829340215513511</v>
      </c>
    </row>
    <row r="47" spans="1:9" x14ac:dyDescent="0.25">
      <c r="A47" s="468">
        <v>32211</v>
      </c>
      <c r="B47" s="476" t="s">
        <v>395</v>
      </c>
      <c r="C47" s="429">
        <v>9339.7900000000009</v>
      </c>
      <c r="D47" s="429">
        <v>12000</v>
      </c>
      <c r="E47" s="429">
        <v>12000</v>
      </c>
      <c r="F47" s="429">
        <f>5739.08-F224-F313-F407-F583-F631</f>
        <v>4925.2599999999993</v>
      </c>
      <c r="G47" s="685">
        <f t="shared" si="0"/>
        <v>41.043833333333332</v>
      </c>
      <c r="H47" s="685">
        <f t="shared" si="1"/>
        <v>41.043833333333332</v>
      </c>
    </row>
    <row r="48" spans="1:9" x14ac:dyDescent="0.25">
      <c r="A48" s="468">
        <v>32212</v>
      </c>
      <c r="B48" s="478" t="s">
        <v>396</v>
      </c>
      <c r="C48" s="429">
        <v>0</v>
      </c>
      <c r="D48" s="429">
        <v>500</v>
      </c>
      <c r="E48" s="429">
        <v>500</v>
      </c>
      <c r="F48" s="429">
        <f>270</f>
        <v>270</v>
      </c>
      <c r="G48" s="685">
        <f t="shared" si="0"/>
        <v>54</v>
      </c>
      <c r="H48" s="685">
        <f t="shared" si="1"/>
        <v>54</v>
      </c>
    </row>
    <row r="49" spans="1:9" x14ac:dyDescent="0.25">
      <c r="A49" s="468">
        <v>32214</v>
      </c>
      <c r="B49" s="478" t="s">
        <v>397</v>
      </c>
      <c r="C49" s="429">
        <v>6750.85</v>
      </c>
      <c r="D49" s="429">
        <v>15000</v>
      </c>
      <c r="E49" s="429">
        <v>15000</v>
      </c>
      <c r="F49" s="429">
        <f>5482.1-F314-F408</f>
        <v>5482.1</v>
      </c>
      <c r="G49" s="685">
        <f t="shared" si="0"/>
        <v>36.547333333333334</v>
      </c>
      <c r="H49" s="685">
        <f t="shared" si="1"/>
        <v>36.547333333333334</v>
      </c>
    </row>
    <row r="50" spans="1:9" x14ac:dyDescent="0.25">
      <c r="A50" s="468">
        <v>32215</v>
      </c>
      <c r="B50" s="478" t="s">
        <v>398</v>
      </c>
      <c r="C50" s="429">
        <v>0</v>
      </c>
      <c r="D50" s="429">
        <v>700</v>
      </c>
      <c r="E50" s="429">
        <v>700</v>
      </c>
      <c r="F50" s="429">
        <v>0</v>
      </c>
      <c r="G50" s="685">
        <f t="shared" si="0"/>
        <v>0</v>
      </c>
      <c r="H50" s="685">
        <f t="shared" si="1"/>
        <v>0</v>
      </c>
    </row>
    <row r="51" spans="1:9" s="766" customFormat="1" x14ac:dyDescent="0.25">
      <c r="A51" s="468">
        <v>32219</v>
      </c>
      <c r="B51" s="476" t="s">
        <v>399</v>
      </c>
      <c r="C51" s="817">
        <v>1694.98</v>
      </c>
      <c r="D51" s="817">
        <f>29862.63-D47-D48-D49-D50</f>
        <v>1662.630000000001</v>
      </c>
      <c r="E51" s="817">
        <v>1662.630000000001</v>
      </c>
      <c r="F51" s="817">
        <f>3324.76-F632</f>
        <v>2709.86</v>
      </c>
      <c r="G51" s="685">
        <f t="shared" si="0"/>
        <v>162.98635294683714</v>
      </c>
      <c r="H51" s="685">
        <f t="shared" si="1"/>
        <v>162.98635294683714</v>
      </c>
      <c r="I51" s="838"/>
    </row>
    <row r="52" spans="1:9" s="766" customFormat="1" x14ac:dyDescent="0.25">
      <c r="A52" s="463" t="s">
        <v>116</v>
      </c>
      <c r="B52" s="466" t="s">
        <v>117</v>
      </c>
      <c r="C52" s="524">
        <f>SUM(C53:C55)</f>
        <v>120156.07</v>
      </c>
      <c r="D52" s="524">
        <f>SUM(D53:D55)</f>
        <v>191120.84</v>
      </c>
      <c r="E52" s="524">
        <f>SUM(E53:E55)</f>
        <v>0</v>
      </c>
      <c r="F52" s="524">
        <f t="shared" ref="F52" si="16">SUM(F53:F55)</f>
        <v>0</v>
      </c>
      <c r="G52" s="685">
        <f t="shared" si="0"/>
        <v>0</v>
      </c>
      <c r="H52" s="685" t="e">
        <f t="shared" si="1"/>
        <v>#DIV/0!</v>
      </c>
      <c r="I52" s="838"/>
    </row>
    <row r="53" spans="1:9" s="766" customFormat="1" x14ac:dyDescent="0.25">
      <c r="A53" s="468" t="s">
        <v>479</v>
      </c>
      <c r="B53" s="476" t="s">
        <v>400</v>
      </c>
      <c r="C53" s="523">
        <v>110024.57</v>
      </c>
      <c r="D53" s="523">
        <v>170000</v>
      </c>
      <c r="E53" s="523"/>
      <c r="F53" s="523">
        <v>0</v>
      </c>
      <c r="G53" s="685">
        <f t="shared" si="0"/>
        <v>0</v>
      </c>
      <c r="H53" s="685" t="e">
        <f t="shared" si="1"/>
        <v>#DIV/0!</v>
      </c>
      <c r="I53" s="838"/>
    </row>
    <row r="54" spans="1:9" s="766" customFormat="1" x14ac:dyDescent="0.25">
      <c r="A54" s="468" t="s">
        <v>480</v>
      </c>
      <c r="B54" s="476" t="s">
        <v>401</v>
      </c>
      <c r="C54" s="523">
        <v>10015.200000000001</v>
      </c>
      <c r="D54" s="523">
        <v>20000</v>
      </c>
      <c r="E54" s="523"/>
      <c r="F54" s="523">
        <v>0</v>
      </c>
      <c r="G54" s="685">
        <f t="shared" si="0"/>
        <v>0</v>
      </c>
      <c r="H54" s="685" t="e">
        <f t="shared" si="1"/>
        <v>#DIV/0!</v>
      </c>
      <c r="I54" s="838"/>
    </row>
    <row r="55" spans="1:9" x14ac:dyDescent="0.25">
      <c r="A55" s="425" t="s">
        <v>481</v>
      </c>
      <c r="B55" s="426" t="s">
        <v>402</v>
      </c>
      <c r="C55" s="523">
        <v>116.3</v>
      </c>
      <c r="D55" s="523">
        <f>191120.84-D53-D54</f>
        <v>1120.8399999999965</v>
      </c>
      <c r="E55" s="523"/>
      <c r="F55" s="523">
        <f>0</f>
        <v>0</v>
      </c>
      <c r="G55" s="685">
        <f t="shared" si="0"/>
        <v>0</v>
      </c>
      <c r="H55" s="685" t="e">
        <f t="shared" si="1"/>
        <v>#DIV/0!</v>
      </c>
    </row>
    <row r="56" spans="1:9" x14ac:dyDescent="0.25">
      <c r="A56" s="463" t="s">
        <v>118</v>
      </c>
      <c r="B56" s="466" t="s">
        <v>119</v>
      </c>
      <c r="C56" s="524">
        <f>SUM(C57:C60)</f>
        <v>68003.600000000006</v>
      </c>
      <c r="D56" s="524">
        <f>SUM(D57:D60)</f>
        <v>181684.25</v>
      </c>
      <c r="E56" s="524">
        <f>SUM(E57:E60)</f>
        <v>87000</v>
      </c>
      <c r="F56" s="524">
        <f>SUM(F57:F60)</f>
        <v>40528.380000000005</v>
      </c>
      <c r="G56" s="685">
        <f t="shared" si="0"/>
        <v>22.307040924020662</v>
      </c>
      <c r="H56" s="685">
        <f t="shared" si="1"/>
        <v>46.584344827586207</v>
      </c>
    </row>
    <row r="57" spans="1:9" x14ac:dyDescent="0.25">
      <c r="A57" s="425" t="s">
        <v>482</v>
      </c>
      <c r="B57" s="426" t="s">
        <v>404</v>
      </c>
      <c r="C57" s="523">
        <v>13304.5</v>
      </c>
      <c r="D57" s="523">
        <v>29000</v>
      </c>
      <c r="E57" s="523">
        <v>29000</v>
      </c>
      <c r="F57" s="523">
        <f>14059.48-F318</f>
        <v>14059.48</v>
      </c>
      <c r="G57" s="685">
        <f t="shared" si="0"/>
        <v>48.480965517241373</v>
      </c>
      <c r="H57" s="685">
        <f t="shared" si="1"/>
        <v>48.480965517241373</v>
      </c>
    </row>
    <row r="58" spans="1:9" x14ac:dyDescent="0.25">
      <c r="A58" s="425" t="s">
        <v>483</v>
      </c>
      <c r="B58" s="426" t="s">
        <v>405</v>
      </c>
      <c r="C58" s="523">
        <v>1296.74</v>
      </c>
      <c r="D58" s="523">
        <v>2000</v>
      </c>
      <c r="E58" s="523">
        <v>2000</v>
      </c>
      <c r="F58" s="523">
        <f>1611.95</f>
        <v>1611.95</v>
      </c>
      <c r="G58" s="685">
        <f t="shared" si="0"/>
        <v>80.597499999999997</v>
      </c>
      <c r="H58" s="685">
        <f t="shared" si="1"/>
        <v>80.597499999999997</v>
      </c>
    </row>
    <row r="59" spans="1:9" x14ac:dyDescent="0.25">
      <c r="A59" s="425" t="s">
        <v>484</v>
      </c>
      <c r="B59" s="426" t="s">
        <v>406</v>
      </c>
      <c r="C59" s="523">
        <v>12787.97</v>
      </c>
      <c r="D59" s="523">
        <v>36000</v>
      </c>
      <c r="E59" s="523">
        <v>36000</v>
      </c>
      <c r="F59" s="523">
        <f>23496.74-F229-F319</f>
        <v>16746.740000000002</v>
      </c>
      <c r="G59" s="685">
        <f t="shared" si="0"/>
        <v>46.518722222222223</v>
      </c>
      <c r="H59" s="685">
        <f t="shared" si="1"/>
        <v>46.518722222222223</v>
      </c>
    </row>
    <row r="60" spans="1:9" x14ac:dyDescent="0.25">
      <c r="A60" s="425" t="s">
        <v>485</v>
      </c>
      <c r="B60" s="426" t="s">
        <v>403</v>
      </c>
      <c r="C60" s="523">
        <v>40614.39</v>
      </c>
      <c r="D60" s="523">
        <f>181684.25-D57-D58-D59</f>
        <v>114684.25</v>
      </c>
      <c r="E60" s="523">
        <v>20000</v>
      </c>
      <c r="F60" s="523">
        <f>10692.89-F230-F635</f>
        <v>8110.2099999999991</v>
      </c>
      <c r="G60" s="685">
        <f t="shared" si="0"/>
        <v>7.0717731510647708</v>
      </c>
      <c r="H60" s="685">
        <f t="shared" si="1"/>
        <v>40.551049999999996</v>
      </c>
    </row>
    <row r="61" spans="1:9" x14ac:dyDescent="0.25">
      <c r="A61" s="463" t="s">
        <v>120</v>
      </c>
      <c r="B61" s="479" t="s">
        <v>121</v>
      </c>
      <c r="C61" s="524">
        <f>SUM(C62:C65)</f>
        <v>2876.05</v>
      </c>
      <c r="D61" s="524">
        <f>SUM(D62:D65)</f>
        <v>13272.28</v>
      </c>
      <c r="E61" s="524">
        <f>SUM(E62:E65)</f>
        <v>13272.28</v>
      </c>
      <c r="F61" s="524">
        <f>SUM(F62:F65)</f>
        <v>3400.4500000000003</v>
      </c>
      <c r="G61" s="685">
        <f t="shared" si="0"/>
        <v>25.620692149351882</v>
      </c>
      <c r="H61" s="685">
        <f t="shared" si="1"/>
        <v>25.620692149351882</v>
      </c>
    </row>
    <row r="62" spans="1:9" x14ac:dyDescent="0.25">
      <c r="A62" s="425">
        <v>32241</v>
      </c>
      <c r="B62" s="426" t="s">
        <v>407</v>
      </c>
      <c r="C62" s="523">
        <v>2410.7800000000002</v>
      </c>
      <c r="D62" s="523">
        <v>7200</v>
      </c>
      <c r="E62" s="523">
        <v>7200</v>
      </c>
      <c r="F62" s="523">
        <f>848.53-F448</f>
        <v>848.53</v>
      </c>
      <c r="G62" s="685">
        <f t="shared" si="0"/>
        <v>11.785138888888888</v>
      </c>
      <c r="H62" s="685">
        <f t="shared" si="1"/>
        <v>11.785138888888888</v>
      </c>
    </row>
    <row r="63" spans="1:9" x14ac:dyDescent="0.25">
      <c r="A63" s="425">
        <v>32242</v>
      </c>
      <c r="B63" s="426" t="s">
        <v>409</v>
      </c>
      <c r="C63" s="523">
        <v>145</v>
      </c>
      <c r="D63" s="523">
        <v>3000</v>
      </c>
      <c r="E63" s="523">
        <v>3000</v>
      </c>
      <c r="F63" s="523">
        <f>2487.88</f>
        <v>2487.88</v>
      </c>
      <c r="G63" s="685">
        <f t="shared" si="0"/>
        <v>82.929333333333332</v>
      </c>
      <c r="H63" s="685">
        <f t="shared" si="1"/>
        <v>82.929333333333332</v>
      </c>
    </row>
    <row r="64" spans="1:9" x14ac:dyDescent="0.25">
      <c r="A64" s="425">
        <v>32243</v>
      </c>
      <c r="B64" s="426" t="s">
        <v>408</v>
      </c>
      <c r="C64" s="523">
        <v>320.27</v>
      </c>
      <c r="D64" s="523">
        <v>2500</v>
      </c>
      <c r="E64" s="523">
        <v>2500</v>
      </c>
      <c r="F64" s="523">
        <f>50.78</f>
        <v>50.78</v>
      </c>
      <c r="G64" s="685">
        <f t="shared" si="0"/>
        <v>2.0312000000000001</v>
      </c>
      <c r="H64" s="685">
        <f t="shared" si="1"/>
        <v>2.0312000000000001</v>
      </c>
    </row>
    <row r="65" spans="1:9" x14ac:dyDescent="0.25">
      <c r="A65" s="425">
        <v>32244</v>
      </c>
      <c r="B65" s="430" t="s">
        <v>410</v>
      </c>
      <c r="C65" s="523">
        <v>0</v>
      </c>
      <c r="D65" s="523">
        <f>13272.28-D62-D63-D64</f>
        <v>572.28000000000065</v>
      </c>
      <c r="E65" s="523">
        <v>572.28000000000065</v>
      </c>
      <c r="F65" s="523">
        <f>13.26</f>
        <v>13.26</v>
      </c>
      <c r="G65" s="685">
        <f t="shared" si="0"/>
        <v>2.3170475990773718</v>
      </c>
      <c r="H65" s="685">
        <f t="shared" si="1"/>
        <v>2.3170475990773718</v>
      </c>
    </row>
    <row r="66" spans="1:9" x14ac:dyDescent="0.25">
      <c r="A66" s="463" t="s">
        <v>122</v>
      </c>
      <c r="B66" s="479" t="s">
        <v>123</v>
      </c>
      <c r="C66" s="524">
        <f>SUM(C67)</f>
        <v>5218.32</v>
      </c>
      <c r="D66" s="524">
        <f>SUM(D67)</f>
        <v>6636.14</v>
      </c>
      <c r="E66" s="524">
        <f>SUM(E67)</f>
        <v>6636.14</v>
      </c>
      <c r="F66" s="524">
        <f t="shared" ref="F66" si="17">SUM(F67)</f>
        <v>44.37</v>
      </c>
      <c r="G66" s="685">
        <f t="shared" si="0"/>
        <v>0.6686115723899736</v>
      </c>
      <c r="H66" s="685">
        <f t="shared" si="1"/>
        <v>0.6686115723899736</v>
      </c>
    </row>
    <row r="67" spans="1:9" x14ac:dyDescent="0.25">
      <c r="A67" s="425" t="s">
        <v>486</v>
      </c>
      <c r="B67" s="430" t="s">
        <v>123</v>
      </c>
      <c r="C67" s="523">
        <v>5218.32</v>
      </c>
      <c r="D67" s="523">
        <v>6636.14</v>
      </c>
      <c r="E67" s="523">
        <v>6636.14</v>
      </c>
      <c r="F67" s="523">
        <f>44.37-F589</f>
        <v>44.37</v>
      </c>
      <c r="G67" s="685">
        <f t="shared" si="0"/>
        <v>0.6686115723899736</v>
      </c>
      <c r="H67" s="685">
        <f t="shared" si="1"/>
        <v>0.6686115723899736</v>
      </c>
    </row>
    <row r="68" spans="1:9" x14ac:dyDescent="0.25">
      <c r="A68" s="463" t="s">
        <v>124</v>
      </c>
      <c r="B68" s="479" t="s">
        <v>125</v>
      </c>
      <c r="C68" s="524">
        <f>SUM(C69)</f>
        <v>3339.92</v>
      </c>
      <c r="D68" s="524">
        <f>SUM(D69)</f>
        <v>9290.6</v>
      </c>
      <c r="E68" s="524">
        <f>SUM(E69)</f>
        <v>9290.6</v>
      </c>
      <c r="F68" s="524">
        <f t="shared" ref="F68" si="18">SUM(F69)</f>
        <v>2002.5</v>
      </c>
      <c r="G68" s="685">
        <f t="shared" si="0"/>
        <v>21.554043872301033</v>
      </c>
      <c r="H68" s="685">
        <f t="shared" si="1"/>
        <v>21.554043872301033</v>
      </c>
    </row>
    <row r="69" spans="1:9" x14ac:dyDescent="0.25">
      <c r="A69" s="425" t="s">
        <v>487</v>
      </c>
      <c r="B69" s="430" t="s">
        <v>125</v>
      </c>
      <c r="C69" s="523">
        <v>3339.92</v>
      </c>
      <c r="D69" s="523">
        <v>9290.6</v>
      </c>
      <c r="E69" s="523">
        <v>9290.6</v>
      </c>
      <c r="F69" s="523">
        <f>2002.5</f>
        <v>2002.5</v>
      </c>
      <c r="G69" s="685">
        <f t="shared" si="0"/>
        <v>21.554043872301033</v>
      </c>
      <c r="H69" s="685">
        <f t="shared" si="1"/>
        <v>21.554043872301033</v>
      </c>
    </row>
    <row r="70" spans="1:9" s="764" customFormat="1" x14ac:dyDescent="0.25">
      <c r="A70" s="422" t="s">
        <v>126</v>
      </c>
      <c r="B70" s="431" t="s">
        <v>127</v>
      </c>
      <c r="C70" s="424">
        <f>C71+C75+C79+C81+C86+C88+C90+C95+C97</f>
        <v>105828.54999999999</v>
      </c>
      <c r="D70" s="424">
        <f>D71+D75+D79+D81+D86+D88+D90+D95+D97</f>
        <v>238863.46000000002</v>
      </c>
      <c r="E70" s="424">
        <f>E71+E75+E79+E81+E86+E88+E90+E95+E97</f>
        <v>240863.46000000002</v>
      </c>
      <c r="F70" s="424">
        <f t="shared" ref="F70" si="19">F71+F75+F79+F81+F86+F88+F90+F95+F97</f>
        <v>99083.72</v>
      </c>
      <c r="G70" s="685">
        <f t="shared" ref="G70:G139" si="20">F70/D70*100</f>
        <v>41.481321588492435</v>
      </c>
      <c r="H70" s="685">
        <f t="shared" si="1"/>
        <v>41.136883112116713</v>
      </c>
      <c r="I70" s="837"/>
    </row>
    <row r="71" spans="1:9" s="764" customFormat="1" x14ac:dyDescent="0.25">
      <c r="A71" s="463" t="s">
        <v>128</v>
      </c>
      <c r="B71" s="479" t="s">
        <v>129</v>
      </c>
      <c r="C71" s="424">
        <f>SUM(C72:C74)</f>
        <v>10203.15</v>
      </c>
      <c r="D71" s="424">
        <f>SUM(D72:D74)</f>
        <v>21235.65</v>
      </c>
      <c r="E71" s="424">
        <f>SUM(E72:E74)</f>
        <v>23235.65</v>
      </c>
      <c r="F71" s="424">
        <f t="shared" ref="F71:G71" si="21">SUM(F72:F74)</f>
        <v>8219.7200000000012</v>
      </c>
      <c r="G71" s="424" t="e">
        <f t="shared" si="21"/>
        <v>#DIV/0!</v>
      </c>
      <c r="H71" s="424">
        <f t="shared" ref="H71:H73" si="22">F71/E71*100</f>
        <v>35.37546829978934</v>
      </c>
      <c r="I71" s="837"/>
    </row>
    <row r="72" spans="1:9" s="764" customFormat="1" x14ac:dyDescent="0.25">
      <c r="A72" s="425" t="s">
        <v>488</v>
      </c>
      <c r="B72" s="430" t="s">
        <v>411</v>
      </c>
      <c r="C72" s="429">
        <v>9912.67</v>
      </c>
      <c r="D72" s="429">
        <v>19500</v>
      </c>
      <c r="E72" s="429">
        <v>19500</v>
      </c>
      <c r="F72" s="429">
        <f>9238.36-F323-F417</f>
        <v>7684.7000000000007</v>
      </c>
      <c r="G72" s="685">
        <f t="shared" si="20"/>
        <v>39.40871794871795</v>
      </c>
      <c r="H72" s="685">
        <f t="shared" si="22"/>
        <v>39.40871794871795</v>
      </c>
      <c r="I72" s="837"/>
    </row>
    <row r="73" spans="1:9" x14ac:dyDescent="0.25">
      <c r="A73" s="425" t="s">
        <v>489</v>
      </c>
      <c r="B73" s="430" t="s">
        <v>412</v>
      </c>
      <c r="C73" s="523">
        <v>290.48</v>
      </c>
      <c r="D73" s="523">
        <f>21235.65-D72</f>
        <v>1735.6500000000015</v>
      </c>
      <c r="E73" s="523">
        <v>1735.65</v>
      </c>
      <c r="F73" s="523">
        <f>297.52</f>
        <v>297.52</v>
      </c>
      <c r="G73" s="685">
        <f t="shared" si="20"/>
        <v>17.141704836804639</v>
      </c>
      <c r="H73" s="685">
        <f t="shared" si="22"/>
        <v>17.141704836804653</v>
      </c>
    </row>
    <row r="74" spans="1:9" x14ac:dyDescent="0.25">
      <c r="A74" s="425" t="s">
        <v>591</v>
      </c>
      <c r="B74" s="430" t="s">
        <v>592</v>
      </c>
      <c r="C74" s="523"/>
      <c r="D74" s="523"/>
      <c r="E74" s="523">
        <v>2000</v>
      </c>
      <c r="F74" s="523">
        <f>637.5-F640</f>
        <v>237.5</v>
      </c>
      <c r="G74" s="685" t="e">
        <f t="shared" si="20"/>
        <v>#DIV/0!</v>
      </c>
      <c r="H74" s="685">
        <f>F74/E74*100</f>
        <v>11.875</v>
      </c>
    </row>
    <row r="75" spans="1:9" x14ac:dyDescent="0.25">
      <c r="A75" s="463" t="s">
        <v>130</v>
      </c>
      <c r="B75" s="479" t="s">
        <v>131</v>
      </c>
      <c r="C75" s="524">
        <f>SUM(C76:C78)</f>
        <v>12829.02</v>
      </c>
      <c r="D75" s="524">
        <f>SUM(D76:D78)</f>
        <v>21053.72</v>
      </c>
      <c r="E75" s="524">
        <f>SUM(E76:E78)</f>
        <v>21053.72</v>
      </c>
      <c r="F75" s="524">
        <f t="shared" ref="F75" si="23">SUM(F76:F78)</f>
        <v>11686.5</v>
      </c>
      <c r="G75" s="685">
        <f t="shared" si="20"/>
        <v>55.508005236129286</v>
      </c>
      <c r="H75" s="685">
        <f t="shared" ref="H75:H92" si="24">F75/E75*100</f>
        <v>55.508005236129286</v>
      </c>
    </row>
    <row r="76" spans="1:9" x14ac:dyDescent="0.25">
      <c r="A76" s="425">
        <v>32321</v>
      </c>
      <c r="B76" s="430" t="s">
        <v>414</v>
      </c>
      <c r="C76" s="523">
        <v>1938.69</v>
      </c>
      <c r="D76" s="523">
        <v>10500</v>
      </c>
      <c r="E76" s="523">
        <v>10500</v>
      </c>
      <c r="F76" s="523">
        <f>8328.12-F237-F451-F593</f>
        <v>4932.8100000000013</v>
      </c>
      <c r="G76" s="685">
        <f t="shared" si="20"/>
        <v>46.979142857142868</v>
      </c>
      <c r="H76" s="685">
        <f t="shared" si="24"/>
        <v>46.979142857142868</v>
      </c>
    </row>
    <row r="77" spans="1:9" x14ac:dyDescent="0.25">
      <c r="A77" s="425">
        <v>32322</v>
      </c>
      <c r="B77" s="430" t="s">
        <v>415</v>
      </c>
      <c r="C77" s="523">
        <v>2476.21</v>
      </c>
      <c r="D77" s="523">
        <v>6500</v>
      </c>
      <c r="E77" s="523">
        <v>6500</v>
      </c>
      <c r="F77" s="523">
        <f>4861.83-F238-F452</f>
        <v>1913.62</v>
      </c>
      <c r="G77" s="685">
        <f t="shared" si="20"/>
        <v>29.440307692307695</v>
      </c>
      <c r="H77" s="685">
        <f t="shared" si="24"/>
        <v>29.440307692307695</v>
      </c>
    </row>
    <row r="78" spans="1:9" s="766" customFormat="1" x14ac:dyDescent="0.25">
      <c r="A78" s="425">
        <v>32323</v>
      </c>
      <c r="B78" s="430" t="s">
        <v>413</v>
      </c>
      <c r="C78" s="523">
        <v>8414.1200000000008</v>
      </c>
      <c r="D78" s="523">
        <f>21053.72-D76-D77</f>
        <v>4053.7200000000012</v>
      </c>
      <c r="E78" s="523">
        <v>4053.7200000000012</v>
      </c>
      <c r="F78" s="523">
        <f>10688.58-F239-F453</f>
        <v>4840.07</v>
      </c>
      <c r="G78" s="685">
        <f t="shared" si="20"/>
        <v>119.3982317476293</v>
      </c>
      <c r="H78" s="685">
        <f t="shared" si="24"/>
        <v>119.3982317476293</v>
      </c>
      <c r="I78" s="838"/>
    </row>
    <row r="79" spans="1:9" s="766" customFormat="1" x14ac:dyDescent="0.25">
      <c r="A79" s="463" t="s">
        <v>132</v>
      </c>
      <c r="B79" s="479" t="s">
        <v>133</v>
      </c>
      <c r="C79" s="524">
        <f>SUM(C80)</f>
        <v>0</v>
      </c>
      <c r="D79" s="524">
        <f>SUM(D80)</f>
        <v>663.61</v>
      </c>
      <c r="E79" s="524">
        <f>SUM(E80)</f>
        <v>663.61</v>
      </c>
      <c r="F79" s="524">
        <f t="shared" ref="F79" si="25">SUM(F80)</f>
        <v>0</v>
      </c>
      <c r="G79" s="685">
        <f t="shared" si="20"/>
        <v>0</v>
      </c>
      <c r="H79" s="685">
        <f t="shared" si="24"/>
        <v>0</v>
      </c>
      <c r="I79" s="838"/>
    </row>
    <row r="80" spans="1:9" x14ac:dyDescent="0.25">
      <c r="A80" s="425" t="s">
        <v>490</v>
      </c>
      <c r="B80" s="430" t="s">
        <v>133</v>
      </c>
      <c r="C80" s="523">
        <v>0</v>
      </c>
      <c r="D80" s="523">
        <v>663.61</v>
      </c>
      <c r="E80" s="523">
        <v>663.61</v>
      </c>
      <c r="F80" s="523">
        <v>0</v>
      </c>
      <c r="G80" s="685">
        <f t="shared" si="20"/>
        <v>0</v>
      </c>
      <c r="H80" s="685">
        <f t="shared" si="24"/>
        <v>0</v>
      </c>
    </row>
    <row r="81" spans="1:9" x14ac:dyDescent="0.25">
      <c r="A81" s="453" t="s">
        <v>134</v>
      </c>
      <c r="B81" s="527" t="s">
        <v>135</v>
      </c>
      <c r="C81" s="524">
        <f>SUM(C82:C85)</f>
        <v>12945.85</v>
      </c>
      <c r="D81" s="524">
        <f>SUM(D82:D85)</f>
        <v>19908.419999999998</v>
      </c>
      <c r="E81" s="524">
        <f>SUM(E82:E85)</f>
        <v>19908.419999999998</v>
      </c>
      <c r="F81" s="524">
        <f>SUM(F82:F85)</f>
        <v>12131.780000000002</v>
      </c>
      <c r="G81" s="685">
        <f t="shared" si="20"/>
        <v>60.93793480346509</v>
      </c>
      <c r="H81" s="685">
        <f t="shared" si="24"/>
        <v>60.93793480346509</v>
      </c>
    </row>
    <row r="82" spans="1:9" x14ac:dyDescent="0.25">
      <c r="A82" s="425">
        <v>32341</v>
      </c>
      <c r="B82" s="430" t="s">
        <v>417</v>
      </c>
      <c r="C82" s="523">
        <v>3442.95</v>
      </c>
      <c r="D82" s="523">
        <v>7500</v>
      </c>
      <c r="E82" s="523">
        <v>7500</v>
      </c>
      <c r="F82" s="523">
        <f>3108.69</f>
        <v>3108.69</v>
      </c>
      <c r="G82" s="685">
        <f t="shared" si="20"/>
        <v>41.449200000000005</v>
      </c>
      <c r="H82" s="685">
        <f t="shared" si="24"/>
        <v>41.449200000000005</v>
      </c>
    </row>
    <row r="83" spans="1:9" x14ac:dyDescent="0.25">
      <c r="A83" s="425">
        <v>32342</v>
      </c>
      <c r="B83" s="430" t="s">
        <v>418</v>
      </c>
      <c r="C83" s="523">
        <v>7625.68</v>
      </c>
      <c r="D83" s="523">
        <v>10500</v>
      </c>
      <c r="E83" s="523">
        <v>10500</v>
      </c>
      <c r="F83" s="523">
        <f>2220.02+3520.01+2974.61</f>
        <v>8714.6400000000012</v>
      </c>
      <c r="G83" s="685">
        <f t="shared" si="20"/>
        <v>82.996571428571443</v>
      </c>
      <c r="H83" s="685">
        <f t="shared" si="24"/>
        <v>82.996571428571443</v>
      </c>
    </row>
    <row r="84" spans="1:9" x14ac:dyDescent="0.25">
      <c r="A84" s="425">
        <v>32343</v>
      </c>
      <c r="B84" s="430" t="s">
        <v>419</v>
      </c>
      <c r="C84" s="523">
        <v>790.65</v>
      </c>
      <c r="D84" s="523">
        <v>1500</v>
      </c>
      <c r="E84" s="523">
        <v>1500</v>
      </c>
      <c r="F84" s="523">
        <f>0</f>
        <v>0</v>
      </c>
      <c r="G84" s="685">
        <f t="shared" si="20"/>
        <v>0</v>
      </c>
      <c r="H84" s="685">
        <f t="shared" si="24"/>
        <v>0</v>
      </c>
    </row>
    <row r="85" spans="1:9" x14ac:dyDescent="0.25">
      <c r="A85" s="432">
        <v>32349</v>
      </c>
      <c r="B85" s="433" t="s">
        <v>420</v>
      </c>
      <c r="C85" s="523">
        <v>1086.57</v>
      </c>
      <c r="D85" s="523">
        <f>19908.42-D82-D83-D84</f>
        <v>408.41999999999825</v>
      </c>
      <c r="E85" s="523">
        <v>408.41999999999825</v>
      </c>
      <c r="F85" s="523">
        <f>308.45</f>
        <v>308.45</v>
      </c>
      <c r="G85" s="685">
        <f t="shared" si="20"/>
        <v>75.522746192645158</v>
      </c>
      <c r="H85" s="685">
        <f t="shared" si="24"/>
        <v>75.522746192645158</v>
      </c>
    </row>
    <row r="86" spans="1:9" x14ac:dyDescent="0.25">
      <c r="A86" s="453">
        <v>3235</v>
      </c>
      <c r="B86" s="527" t="s">
        <v>136</v>
      </c>
      <c r="C86" s="524">
        <f>SUM(C87)</f>
        <v>0</v>
      </c>
      <c r="D86" s="524">
        <f>SUM(D87)</f>
        <v>132.72</v>
      </c>
      <c r="E86" s="524">
        <f>SUM(E87)</f>
        <v>132.72</v>
      </c>
      <c r="F86" s="524">
        <f t="shared" ref="F86" si="26">SUM(F87)</f>
        <v>0</v>
      </c>
      <c r="G86" s="685">
        <f t="shared" si="20"/>
        <v>0</v>
      </c>
      <c r="H86" s="685">
        <f t="shared" si="24"/>
        <v>0</v>
      </c>
    </row>
    <row r="87" spans="1:9" s="766" customFormat="1" x14ac:dyDescent="0.25">
      <c r="A87" s="432">
        <v>32359</v>
      </c>
      <c r="B87" s="433" t="s">
        <v>136</v>
      </c>
      <c r="C87" s="523">
        <v>0</v>
      </c>
      <c r="D87" s="523">
        <v>132.72</v>
      </c>
      <c r="E87" s="523">
        <v>132.72</v>
      </c>
      <c r="F87" s="523">
        <v>0</v>
      </c>
      <c r="G87" s="685">
        <f t="shared" si="20"/>
        <v>0</v>
      </c>
      <c r="H87" s="685">
        <f t="shared" si="24"/>
        <v>0</v>
      </c>
      <c r="I87" s="838"/>
    </row>
    <row r="88" spans="1:9" s="766" customFormat="1" x14ac:dyDescent="0.25">
      <c r="A88" s="453">
        <v>3236</v>
      </c>
      <c r="B88" s="527" t="s">
        <v>137</v>
      </c>
      <c r="C88" s="524">
        <f>SUM(C89)</f>
        <v>14279.52</v>
      </c>
      <c r="D88" s="524">
        <f>SUM(D89)</f>
        <v>22562.880000000001</v>
      </c>
      <c r="E88" s="524">
        <f>SUM(E89)</f>
        <v>22562.880000000001</v>
      </c>
      <c r="F88" s="524">
        <f t="shared" ref="F88" si="27">SUM(F89)</f>
        <v>21035.95</v>
      </c>
      <c r="G88" s="685">
        <f t="shared" si="20"/>
        <v>93.232557191280534</v>
      </c>
      <c r="H88" s="685">
        <f t="shared" si="24"/>
        <v>93.232557191280534</v>
      </c>
      <c r="I88" s="838"/>
    </row>
    <row r="89" spans="1:9" x14ac:dyDescent="0.25">
      <c r="A89" s="432">
        <v>32369</v>
      </c>
      <c r="B89" s="433" t="s">
        <v>137</v>
      </c>
      <c r="C89" s="523">
        <v>14279.52</v>
      </c>
      <c r="D89" s="523">
        <v>22562.880000000001</v>
      </c>
      <c r="E89" s="523">
        <v>22562.880000000001</v>
      </c>
      <c r="F89" s="523">
        <f>21903.34+459.84-F244-F325-F419</f>
        <v>21035.95</v>
      </c>
      <c r="G89" s="685">
        <f t="shared" si="20"/>
        <v>93.232557191280534</v>
      </c>
      <c r="H89" s="685">
        <f t="shared" si="24"/>
        <v>93.232557191280534</v>
      </c>
    </row>
    <row r="90" spans="1:9" x14ac:dyDescent="0.25">
      <c r="A90" s="453">
        <v>3237</v>
      </c>
      <c r="B90" s="527" t="s">
        <v>315</v>
      </c>
      <c r="C90" s="524">
        <f>SUM(C91:C94)</f>
        <v>43446.85</v>
      </c>
      <c r="D90" s="524">
        <f>SUM(D91:D94)</f>
        <v>110480.46</v>
      </c>
      <c r="E90" s="524">
        <f>SUM(E91:E94)</f>
        <v>110480.46</v>
      </c>
      <c r="F90" s="524">
        <f>SUM(F91:F94)</f>
        <v>40387.370000000003</v>
      </c>
      <c r="G90" s="685">
        <f t="shared" si="20"/>
        <v>36.556120421656466</v>
      </c>
      <c r="H90" s="685">
        <f t="shared" si="24"/>
        <v>36.556120421656466</v>
      </c>
    </row>
    <row r="91" spans="1:9" x14ac:dyDescent="0.25">
      <c r="A91" s="432">
        <v>32372</v>
      </c>
      <c r="B91" s="433" t="s">
        <v>423</v>
      </c>
      <c r="C91" s="523">
        <v>34014.57</v>
      </c>
      <c r="D91" s="523">
        <v>94500</v>
      </c>
      <c r="E91" s="523">
        <v>94500</v>
      </c>
      <c r="F91" s="523">
        <f>20793.33+10941.54+1422.98+1258.42-F246-F557-F644</f>
        <v>32093.620000000003</v>
      </c>
      <c r="G91" s="685">
        <f t="shared" si="20"/>
        <v>33.961502645502648</v>
      </c>
      <c r="H91" s="685">
        <f t="shared" si="24"/>
        <v>33.961502645502648</v>
      </c>
    </row>
    <row r="92" spans="1:9" x14ac:dyDescent="0.25">
      <c r="A92" s="432">
        <v>32373</v>
      </c>
      <c r="B92" s="433" t="s">
        <v>424</v>
      </c>
      <c r="C92" s="523">
        <v>9382.2800000000007</v>
      </c>
      <c r="D92" s="523">
        <v>12000</v>
      </c>
      <c r="E92" s="523">
        <v>12000</v>
      </c>
      <c r="F92" s="523">
        <f>7500</f>
        <v>7500</v>
      </c>
      <c r="G92" s="685">
        <f t="shared" si="20"/>
        <v>62.5</v>
      </c>
      <c r="H92" s="685">
        <f t="shared" si="24"/>
        <v>62.5</v>
      </c>
    </row>
    <row r="93" spans="1:9" x14ac:dyDescent="0.25">
      <c r="A93" s="432">
        <v>32375</v>
      </c>
      <c r="B93" s="433" t="s">
        <v>593</v>
      </c>
      <c r="C93" s="523">
        <v>0</v>
      </c>
      <c r="D93" s="523">
        <v>0</v>
      </c>
      <c r="E93" s="523">
        <v>0</v>
      </c>
      <c r="F93" s="523">
        <f>0</f>
        <v>0</v>
      </c>
      <c r="G93" s="685" t="e">
        <f t="shared" si="20"/>
        <v>#DIV/0!</v>
      </c>
      <c r="H93" s="685" t="e">
        <f>F93/E93*100</f>
        <v>#DIV/0!</v>
      </c>
    </row>
    <row r="94" spans="1:9" x14ac:dyDescent="0.25">
      <c r="A94" s="432">
        <v>32379</v>
      </c>
      <c r="B94" s="433" t="s">
        <v>491</v>
      </c>
      <c r="C94" s="523">
        <v>50</v>
      </c>
      <c r="D94" s="523">
        <f>110480.46-D91-D92</f>
        <v>3980.4600000000064</v>
      </c>
      <c r="E94" s="523">
        <v>3980.46</v>
      </c>
      <c r="F94" s="523">
        <f>793.75-F327</f>
        <v>793.75</v>
      </c>
      <c r="G94" s="685">
        <f t="shared" si="20"/>
        <v>19.941162579199357</v>
      </c>
      <c r="H94" s="685">
        <f t="shared" ref="H94:H163" si="28">F94/E94*100</f>
        <v>19.941162579199389</v>
      </c>
    </row>
    <row r="95" spans="1:9" s="761" customFormat="1" x14ac:dyDescent="0.25">
      <c r="A95" s="453" t="s">
        <v>139</v>
      </c>
      <c r="B95" s="527" t="s">
        <v>140</v>
      </c>
      <c r="C95" s="524">
        <f>SUM(C96)</f>
        <v>4281.49</v>
      </c>
      <c r="D95" s="524">
        <f>SUM(D96)</f>
        <v>18581.189999999999</v>
      </c>
      <c r="E95" s="524">
        <f>SUM(E96)</f>
        <v>18581.189999999999</v>
      </c>
      <c r="F95" s="524">
        <f t="shared" ref="F95" si="29">SUM(F96)</f>
        <v>3944.25</v>
      </c>
      <c r="G95" s="685">
        <f t="shared" si="20"/>
        <v>21.227111934165681</v>
      </c>
      <c r="H95" s="685">
        <f t="shared" si="28"/>
        <v>21.227111934165681</v>
      </c>
      <c r="I95" s="830"/>
    </row>
    <row r="96" spans="1:9" x14ac:dyDescent="0.25">
      <c r="A96" s="432">
        <v>32389</v>
      </c>
      <c r="B96" s="433" t="s">
        <v>425</v>
      </c>
      <c r="C96" s="523">
        <v>4281.49</v>
      </c>
      <c r="D96" s="523">
        <v>18581.189999999999</v>
      </c>
      <c r="E96" s="523">
        <v>18581.189999999999</v>
      </c>
      <c r="F96" s="523">
        <f>23285.51-F457</f>
        <v>3944.25</v>
      </c>
      <c r="G96" s="685">
        <f t="shared" si="20"/>
        <v>21.227111934165681</v>
      </c>
      <c r="H96" s="685">
        <f t="shared" si="28"/>
        <v>21.227111934165681</v>
      </c>
    </row>
    <row r="97" spans="1:8" x14ac:dyDescent="0.25">
      <c r="A97" s="453" t="s">
        <v>141</v>
      </c>
      <c r="B97" s="527" t="s">
        <v>142</v>
      </c>
      <c r="C97" s="524">
        <f>SUM(C98:C100)</f>
        <v>7842.67</v>
      </c>
      <c r="D97" s="524">
        <f>SUM(D98:D100)</f>
        <v>24244.81</v>
      </c>
      <c r="E97" s="524">
        <f>SUM(E98:E100)</f>
        <v>24244.81</v>
      </c>
      <c r="F97" s="524">
        <f t="shared" ref="F97" si="30">SUM(F98:F100)</f>
        <v>1678.15</v>
      </c>
      <c r="G97" s="685">
        <f t="shared" si="20"/>
        <v>6.9216875694220743</v>
      </c>
      <c r="H97" s="685">
        <f t="shared" si="28"/>
        <v>6.9216875694220743</v>
      </c>
    </row>
    <row r="98" spans="1:8" x14ac:dyDescent="0.25">
      <c r="A98" s="432">
        <v>32394</v>
      </c>
      <c r="B98" s="433" t="s">
        <v>426</v>
      </c>
      <c r="C98" s="523">
        <v>1681.88</v>
      </c>
      <c r="D98" s="523">
        <v>4000</v>
      </c>
      <c r="E98" s="523">
        <v>4000</v>
      </c>
      <c r="F98" s="523">
        <f>693.82-F329</f>
        <v>693.82</v>
      </c>
      <c r="G98" s="685">
        <f t="shared" si="20"/>
        <v>17.345500000000001</v>
      </c>
      <c r="H98" s="685">
        <f t="shared" si="28"/>
        <v>17.345500000000001</v>
      </c>
    </row>
    <row r="99" spans="1:8" x14ac:dyDescent="0.25">
      <c r="A99" s="432">
        <v>32395</v>
      </c>
      <c r="B99" s="433" t="s">
        <v>427</v>
      </c>
      <c r="C99" s="523">
        <v>3597</v>
      </c>
      <c r="D99" s="523">
        <v>6500</v>
      </c>
      <c r="E99" s="523">
        <v>6500</v>
      </c>
      <c r="F99" s="523">
        <f>0</f>
        <v>0</v>
      </c>
      <c r="G99" s="685">
        <f t="shared" si="20"/>
        <v>0</v>
      </c>
      <c r="H99" s="685">
        <f t="shared" si="28"/>
        <v>0</v>
      </c>
    </row>
    <row r="100" spans="1:8" x14ac:dyDescent="0.25">
      <c r="A100" s="432">
        <v>32399</v>
      </c>
      <c r="B100" s="433" t="s">
        <v>305</v>
      </c>
      <c r="C100" s="523">
        <v>2563.79</v>
      </c>
      <c r="D100" s="523">
        <f>24244.81-D98-D99</f>
        <v>13744.810000000001</v>
      </c>
      <c r="E100" s="523">
        <v>13744.810000000001</v>
      </c>
      <c r="F100" s="754">
        <f>2287.33-F249-F559-F646</f>
        <v>984.32999999999993</v>
      </c>
      <c r="G100" s="685">
        <f t="shared" si="20"/>
        <v>7.1614667645460344</v>
      </c>
      <c r="H100" s="685">
        <f t="shared" si="28"/>
        <v>7.1614667645460344</v>
      </c>
    </row>
    <row r="101" spans="1:8" x14ac:dyDescent="0.25">
      <c r="A101" s="427">
        <v>324</v>
      </c>
      <c r="B101" s="434" t="s">
        <v>143</v>
      </c>
      <c r="C101" s="424">
        <f t="shared" ref="C101:E102" si="31">SUM(C102)</f>
        <v>0</v>
      </c>
      <c r="D101" s="424">
        <f t="shared" si="31"/>
        <v>398.17</v>
      </c>
      <c r="E101" s="424">
        <f t="shared" si="31"/>
        <v>398.17</v>
      </c>
      <c r="F101" s="424">
        <f t="shared" ref="F101:F102" si="32">SUM(F102)</f>
        <v>0</v>
      </c>
      <c r="G101" s="685">
        <f t="shared" si="20"/>
        <v>0</v>
      </c>
      <c r="H101" s="685">
        <f t="shared" si="28"/>
        <v>0</v>
      </c>
    </row>
    <row r="102" spans="1:8" x14ac:dyDescent="0.25">
      <c r="A102" s="521">
        <v>3241</v>
      </c>
      <c r="B102" s="528" t="s">
        <v>143</v>
      </c>
      <c r="C102" s="424">
        <f t="shared" si="31"/>
        <v>0</v>
      </c>
      <c r="D102" s="424">
        <f t="shared" si="31"/>
        <v>398.17</v>
      </c>
      <c r="E102" s="424">
        <f t="shared" si="31"/>
        <v>398.17</v>
      </c>
      <c r="F102" s="424">
        <f t="shared" si="32"/>
        <v>0</v>
      </c>
      <c r="G102" s="685">
        <f t="shared" si="20"/>
        <v>0</v>
      </c>
      <c r="H102" s="685">
        <f t="shared" si="28"/>
        <v>0</v>
      </c>
    </row>
    <row r="103" spans="1:8" x14ac:dyDescent="0.25">
      <c r="A103" s="428" t="s">
        <v>492</v>
      </c>
      <c r="B103" s="435" t="s">
        <v>437</v>
      </c>
      <c r="C103" s="523">
        <v>0</v>
      </c>
      <c r="D103" s="523">
        <v>398.17</v>
      </c>
      <c r="E103" s="523">
        <v>398.17</v>
      </c>
      <c r="F103" s="523">
        <v>0</v>
      </c>
      <c r="G103" s="685">
        <f t="shared" si="20"/>
        <v>0</v>
      </c>
      <c r="H103" s="685">
        <f t="shared" si="28"/>
        <v>0</v>
      </c>
    </row>
    <row r="104" spans="1:8" x14ac:dyDescent="0.25">
      <c r="A104" s="521" t="s">
        <v>619</v>
      </c>
      <c r="B104" s="528" t="s">
        <v>127</v>
      </c>
      <c r="C104" s="524">
        <f>C105</f>
        <v>0</v>
      </c>
      <c r="D104" s="524">
        <f>D105</f>
        <v>0</v>
      </c>
      <c r="E104" s="524">
        <f>E105</f>
        <v>170000</v>
      </c>
      <c r="F104" s="524">
        <f>F105</f>
        <v>70326.444999999992</v>
      </c>
      <c r="G104" s="685" t="e">
        <f t="shared" si="20"/>
        <v>#DIV/0!</v>
      </c>
      <c r="H104" s="685">
        <f t="shared" si="28"/>
        <v>41.368497058823522</v>
      </c>
    </row>
    <row r="105" spans="1:8" x14ac:dyDescent="0.25">
      <c r="A105" s="521" t="s">
        <v>620</v>
      </c>
      <c r="B105" s="528" t="s">
        <v>142</v>
      </c>
      <c r="C105" s="524">
        <f>C106+C107</f>
        <v>0</v>
      </c>
      <c r="D105" s="524">
        <f>D106+D107</f>
        <v>0</v>
      </c>
      <c r="E105" s="524">
        <f>E106+E107</f>
        <v>170000</v>
      </c>
      <c r="F105" s="524">
        <f>F106+F107</f>
        <v>70326.444999999992</v>
      </c>
      <c r="G105" s="685" t="e">
        <f t="shared" si="20"/>
        <v>#DIV/0!</v>
      </c>
      <c r="H105" s="685">
        <f t="shared" si="28"/>
        <v>41.368497058823522</v>
      </c>
    </row>
    <row r="106" spans="1:8" x14ac:dyDescent="0.25">
      <c r="A106" s="428" t="s">
        <v>621</v>
      </c>
      <c r="B106" s="435" t="s">
        <v>623</v>
      </c>
      <c r="C106" s="523"/>
      <c r="D106" s="523"/>
      <c r="E106" s="523">
        <v>15000</v>
      </c>
      <c r="F106" s="848">
        <f>6286.77-F252-F333-F427</f>
        <v>2309.6650000000004</v>
      </c>
      <c r="G106" s="685" t="e">
        <f t="shared" si="20"/>
        <v>#DIV/0!</v>
      </c>
      <c r="H106" s="685">
        <f t="shared" si="28"/>
        <v>15.397766666666671</v>
      </c>
    </row>
    <row r="107" spans="1:8" x14ac:dyDescent="0.25">
      <c r="A107" s="428" t="s">
        <v>622</v>
      </c>
      <c r="B107" s="435" t="s">
        <v>624</v>
      </c>
      <c r="C107" s="523"/>
      <c r="D107" s="523"/>
      <c r="E107" s="523">
        <v>155000</v>
      </c>
      <c r="F107" s="523">
        <f>117463.12-F253-F334-F428</f>
        <v>68016.78</v>
      </c>
      <c r="G107" s="685" t="e">
        <f t="shared" si="20"/>
        <v>#DIV/0!</v>
      </c>
      <c r="H107" s="685">
        <f t="shared" si="28"/>
        <v>43.881793548387094</v>
      </c>
    </row>
    <row r="108" spans="1:8" x14ac:dyDescent="0.25">
      <c r="A108" s="436">
        <v>329</v>
      </c>
      <c r="B108" s="437" t="s">
        <v>144</v>
      </c>
      <c r="C108" s="424">
        <f>C109+C111+C115+C117+C119+C123+C125</f>
        <v>23433.409999999996</v>
      </c>
      <c r="D108" s="424">
        <f>D109+D111+D115+D117+D119+D123+D125</f>
        <v>51775.64</v>
      </c>
      <c r="E108" s="424">
        <f>E109+E111+E115+E117+E119+E123+E125</f>
        <v>51775.64</v>
      </c>
      <c r="F108" s="424">
        <f t="shared" ref="F108" si="33">F109+F111+F115+F117+F119+F123+F125</f>
        <v>18787.670000000002</v>
      </c>
      <c r="G108" s="685">
        <f t="shared" si="20"/>
        <v>36.286697759795921</v>
      </c>
      <c r="H108" s="685">
        <f t="shared" si="28"/>
        <v>36.286697759795921</v>
      </c>
    </row>
    <row r="109" spans="1:8" x14ac:dyDescent="0.25">
      <c r="A109" s="436" t="s">
        <v>145</v>
      </c>
      <c r="B109" s="437" t="s">
        <v>146</v>
      </c>
      <c r="C109" s="424">
        <f>SUM(C110)</f>
        <v>4399.32</v>
      </c>
      <c r="D109" s="424">
        <f>SUM(D110)</f>
        <v>11613.25</v>
      </c>
      <c r="E109" s="424">
        <f>SUM(E110)</f>
        <v>11613.25</v>
      </c>
      <c r="F109" s="424">
        <f t="shared" ref="F109" si="34">SUM(F110)</f>
        <v>4399.32</v>
      </c>
      <c r="G109" s="685">
        <f t="shared" si="20"/>
        <v>37.881902137644495</v>
      </c>
      <c r="H109" s="685">
        <f t="shared" si="28"/>
        <v>37.881902137644495</v>
      </c>
    </row>
    <row r="110" spans="1:8" x14ac:dyDescent="0.25">
      <c r="A110" s="432">
        <v>32911</v>
      </c>
      <c r="B110" s="433" t="s">
        <v>146</v>
      </c>
      <c r="C110" s="525">
        <v>4399.32</v>
      </c>
      <c r="D110" s="525">
        <v>11613.25</v>
      </c>
      <c r="E110" s="525">
        <v>11613.25</v>
      </c>
      <c r="F110" s="525">
        <f>4399.32</f>
        <v>4399.32</v>
      </c>
      <c r="G110" s="685">
        <f t="shared" si="20"/>
        <v>37.881902137644495</v>
      </c>
      <c r="H110" s="685">
        <f t="shared" si="28"/>
        <v>37.881902137644495</v>
      </c>
    </row>
    <row r="111" spans="1:8" x14ac:dyDescent="0.25">
      <c r="A111" s="453">
        <v>3292</v>
      </c>
      <c r="B111" s="527" t="s">
        <v>147</v>
      </c>
      <c r="C111" s="686">
        <f>SUM(C112:C114)</f>
        <v>13133.84</v>
      </c>
      <c r="D111" s="686">
        <f>SUM(D112:D114)</f>
        <v>21235.65</v>
      </c>
      <c r="E111" s="686">
        <f>SUM(E112:E114)</f>
        <v>21235.65</v>
      </c>
      <c r="F111" s="686">
        <f t="shared" ref="F111" si="35">SUM(F112:F114)</f>
        <v>9384.6500000000015</v>
      </c>
      <c r="G111" s="685">
        <f t="shared" si="20"/>
        <v>44.19290203031224</v>
      </c>
      <c r="H111" s="685">
        <f t="shared" si="28"/>
        <v>44.19290203031224</v>
      </c>
    </row>
    <row r="112" spans="1:8" x14ac:dyDescent="0.25">
      <c r="A112" s="432">
        <v>32921</v>
      </c>
      <c r="B112" s="433" t="s">
        <v>431</v>
      </c>
      <c r="C112" s="525">
        <v>5712.87</v>
      </c>
      <c r="D112" s="525">
        <v>10250</v>
      </c>
      <c r="E112" s="525">
        <v>10250</v>
      </c>
      <c r="F112" s="525">
        <f>5174.46-F256-F386</f>
        <v>2274.1800000000003</v>
      </c>
      <c r="G112" s="685">
        <f t="shared" si="20"/>
        <v>22.187121951219517</v>
      </c>
      <c r="H112" s="685">
        <f t="shared" si="28"/>
        <v>22.187121951219517</v>
      </c>
    </row>
    <row r="113" spans="1:8" x14ac:dyDescent="0.25">
      <c r="A113" s="432">
        <v>32922</v>
      </c>
      <c r="B113" s="433" t="s">
        <v>430</v>
      </c>
      <c r="C113" s="525">
        <v>2372.85</v>
      </c>
      <c r="D113" s="525">
        <v>2100</v>
      </c>
      <c r="E113" s="525">
        <v>2100</v>
      </c>
      <c r="F113" s="525">
        <f>2372.85</f>
        <v>2372.85</v>
      </c>
      <c r="G113" s="685">
        <f t="shared" si="20"/>
        <v>112.99285714285713</v>
      </c>
      <c r="H113" s="685">
        <f t="shared" si="28"/>
        <v>112.99285714285713</v>
      </c>
    </row>
    <row r="114" spans="1:8" x14ac:dyDescent="0.25">
      <c r="A114" s="432">
        <v>32923</v>
      </c>
      <c r="B114" s="433" t="s">
        <v>428</v>
      </c>
      <c r="C114" s="523">
        <v>5048.12</v>
      </c>
      <c r="D114" s="523">
        <f>21235.65-D112-D113</f>
        <v>8885.6500000000015</v>
      </c>
      <c r="E114" s="523">
        <v>8885.6500000000015</v>
      </c>
      <c r="F114" s="523">
        <f>4737.62-F337</f>
        <v>4737.62</v>
      </c>
      <c r="G114" s="685">
        <f t="shared" si="20"/>
        <v>53.317652619673282</v>
      </c>
      <c r="H114" s="685">
        <f t="shared" si="28"/>
        <v>53.317652619673282</v>
      </c>
    </row>
    <row r="115" spans="1:8" x14ac:dyDescent="0.25">
      <c r="A115" s="453">
        <v>3293</v>
      </c>
      <c r="B115" s="527" t="s">
        <v>148</v>
      </c>
      <c r="C115" s="524">
        <f>SUM(C116)</f>
        <v>919.01</v>
      </c>
      <c r="D115" s="524">
        <f>SUM(D116)</f>
        <v>3318.07</v>
      </c>
      <c r="E115" s="524">
        <f>SUM(E116)</f>
        <v>3318.07</v>
      </c>
      <c r="F115" s="524">
        <f t="shared" ref="F115" si="36">SUM(F116)</f>
        <v>1127.2800000000002</v>
      </c>
      <c r="G115" s="685">
        <f t="shared" si="20"/>
        <v>33.973966793949501</v>
      </c>
      <c r="H115" s="685">
        <f t="shared" si="28"/>
        <v>33.973966793949501</v>
      </c>
    </row>
    <row r="116" spans="1:8" x14ac:dyDescent="0.25">
      <c r="A116" s="432">
        <v>32931</v>
      </c>
      <c r="B116" s="433" t="s">
        <v>148</v>
      </c>
      <c r="C116" s="523">
        <v>919.01</v>
      </c>
      <c r="D116" s="523">
        <v>3318.07</v>
      </c>
      <c r="E116" s="523">
        <v>3318.07</v>
      </c>
      <c r="F116" s="523">
        <f>2127.28-F339-F599-F649</f>
        <v>1127.2800000000002</v>
      </c>
      <c r="G116" s="685">
        <f t="shared" si="20"/>
        <v>33.973966793949501</v>
      </c>
      <c r="H116" s="685">
        <f t="shared" si="28"/>
        <v>33.973966793949501</v>
      </c>
    </row>
    <row r="117" spans="1:8" x14ac:dyDescent="0.25">
      <c r="A117" s="453">
        <v>3294</v>
      </c>
      <c r="B117" s="527" t="s">
        <v>149</v>
      </c>
      <c r="C117" s="524">
        <f>SUM(C118)</f>
        <v>1072.23</v>
      </c>
      <c r="D117" s="524">
        <f>SUM(D118)</f>
        <v>1990.84</v>
      </c>
      <c r="E117" s="524">
        <f>SUM(E118)</f>
        <v>1990.84</v>
      </c>
      <c r="F117" s="524">
        <f t="shared" ref="F117" si="37">SUM(F118)</f>
        <v>1112.4000000000001</v>
      </c>
      <c r="G117" s="685">
        <f t="shared" si="20"/>
        <v>55.875911675473674</v>
      </c>
      <c r="H117" s="685">
        <f t="shared" si="28"/>
        <v>55.875911675473674</v>
      </c>
    </row>
    <row r="118" spans="1:8" x14ac:dyDescent="0.25">
      <c r="A118" s="432">
        <v>32941</v>
      </c>
      <c r="B118" s="433" t="s">
        <v>432</v>
      </c>
      <c r="C118" s="523">
        <v>1072.23</v>
      </c>
      <c r="D118" s="523">
        <v>1990.84</v>
      </c>
      <c r="E118" s="523">
        <v>1990.84</v>
      </c>
      <c r="F118" s="523">
        <f>1112.4</f>
        <v>1112.4000000000001</v>
      </c>
      <c r="G118" s="685">
        <f t="shared" si="20"/>
        <v>55.875911675473674</v>
      </c>
      <c r="H118" s="685">
        <f t="shared" si="28"/>
        <v>55.875911675473674</v>
      </c>
    </row>
    <row r="119" spans="1:8" x14ac:dyDescent="0.25">
      <c r="A119" s="393">
        <v>3295</v>
      </c>
      <c r="B119" s="394" t="s">
        <v>150</v>
      </c>
      <c r="C119" s="524">
        <f>SUM(C120:C122)</f>
        <v>262.14</v>
      </c>
      <c r="D119" s="524">
        <f>SUM(D120:D122)</f>
        <v>2654.46</v>
      </c>
      <c r="E119" s="524">
        <f>SUM(E120:E122)</f>
        <v>2654.46</v>
      </c>
      <c r="F119" s="524">
        <f t="shared" ref="F119" si="38">SUM(F120:F122)</f>
        <v>71.25</v>
      </c>
      <c r="G119" s="685">
        <f t="shared" si="20"/>
        <v>2.684161750412513</v>
      </c>
      <c r="H119" s="685">
        <f t="shared" si="28"/>
        <v>2.684161750412513</v>
      </c>
    </row>
    <row r="120" spans="1:8" x14ac:dyDescent="0.25">
      <c r="A120" s="395">
        <v>32952</v>
      </c>
      <c r="B120" s="396" t="s">
        <v>434</v>
      </c>
      <c r="C120" s="523">
        <v>262.14</v>
      </c>
      <c r="D120" s="523">
        <v>800</v>
      </c>
      <c r="E120" s="523">
        <v>800</v>
      </c>
      <c r="F120" s="523">
        <f>0</f>
        <v>0</v>
      </c>
      <c r="G120" s="685">
        <f t="shared" si="20"/>
        <v>0</v>
      </c>
      <c r="H120" s="685">
        <f t="shared" si="28"/>
        <v>0</v>
      </c>
    </row>
    <row r="121" spans="1:8" x14ac:dyDescent="0.25">
      <c r="A121" s="395">
        <v>32953</v>
      </c>
      <c r="B121" s="396" t="s">
        <v>435</v>
      </c>
      <c r="C121" s="523">
        <v>0</v>
      </c>
      <c r="D121" s="523">
        <v>1450</v>
      </c>
      <c r="E121" s="523">
        <v>1450</v>
      </c>
      <c r="F121" s="523">
        <f>71.25</f>
        <v>71.25</v>
      </c>
      <c r="G121" s="685">
        <f t="shared" si="20"/>
        <v>4.9137931034482758</v>
      </c>
      <c r="H121" s="685">
        <f t="shared" si="28"/>
        <v>4.9137931034482758</v>
      </c>
    </row>
    <row r="122" spans="1:8" x14ac:dyDescent="0.25">
      <c r="A122" s="395">
        <v>32959</v>
      </c>
      <c r="B122" s="396" t="s">
        <v>433</v>
      </c>
      <c r="C122" s="523">
        <v>0</v>
      </c>
      <c r="D122" s="523">
        <f>2654.46-D120-D121</f>
        <v>404.46000000000004</v>
      </c>
      <c r="E122" s="523">
        <v>404.46000000000004</v>
      </c>
      <c r="F122" s="523">
        <v>0</v>
      </c>
      <c r="G122" s="685">
        <f t="shared" si="20"/>
        <v>0</v>
      </c>
      <c r="H122" s="685">
        <f t="shared" si="28"/>
        <v>0</v>
      </c>
    </row>
    <row r="123" spans="1:8" x14ac:dyDescent="0.25">
      <c r="A123" s="393">
        <v>3296</v>
      </c>
      <c r="B123" s="394" t="s">
        <v>151</v>
      </c>
      <c r="C123" s="524">
        <f>SUM(C124)</f>
        <v>705</v>
      </c>
      <c r="D123" s="524">
        <f>SUM(D124)</f>
        <v>4990.84</v>
      </c>
      <c r="E123" s="524">
        <f>SUM(E124)</f>
        <v>4990.84</v>
      </c>
      <c r="F123" s="524">
        <f t="shared" ref="F123" si="39">SUM(F124)</f>
        <v>0</v>
      </c>
      <c r="G123" s="685">
        <f t="shared" si="20"/>
        <v>0</v>
      </c>
      <c r="H123" s="685">
        <f t="shared" si="28"/>
        <v>0</v>
      </c>
    </row>
    <row r="124" spans="1:8" x14ac:dyDescent="0.25">
      <c r="A124" s="395">
        <v>32961</v>
      </c>
      <c r="B124" s="396" t="s">
        <v>151</v>
      </c>
      <c r="C124" s="523">
        <v>705</v>
      </c>
      <c r="D124" s="523">
        <v>4990.84</v>
      </c>
      <c r="E124" s="523">
        <v>4990.84</v>
      </c>
      <c r="F124" s="523">
        <f>0</f>
        <v>0</v>
      </c>
      <c r="G124" s="685">
        <f t="shared" si="20"/>
        <v>0</v>
      </c>
      <c r="H124" s="685">
        <f t="shared" si="28"/>
        <v>0</v>
      </c>
    </row>
    <row r="125" spans="1:8" x14ac:dyDescent="0.25">
      <c r="A125" s="393" t="s">
        <v>152</v>
      </c>
      <c r="B125" s="394" t="s">
        <v>144</v>
      </c>
      <c r="C125" s="524">
        <f>SUM(C126:C127)</f>
        <v>2941.87</v>
      </c>
      <c r="D125" s="524">
        <f>SUM(D126:D127)</f>
        <v>5972.53</v>
      </c>
      <c r="E125" s="524">
        <f>SUM(E126:E127)</f>
        <v>5972.53</v>
      </c>
      <c r="F125" s="524">
        <f t="shared" ref="F125" si="40">SUM(F126:F127)</f>
        <v>2692.77</v>
      </c>
      <c r="G125" s="685">
        <f t="shared" si="20"/>
        <v>45.085918362904835</v>
      </c>
      <c r="H125" s="685">
        <f t="shared" si="28"/>
        <v>45.085918362904835</v>
      </c>
    </row>
    <row r="126" spans="1:8" x14ac:dyDescent="0.25">
      <c r="A126" s="395">
        <v>32991</v>
      </c>
      <c r="B126" s="396" t="s">
        <v>436</v>
      </c>
      <c r="C126" s="523">
        <v>0</v>
      </c>
      <c r="D126" s="523">
        <v>200</v>
      </c>
      <c r="E126" s="523">
        <v>200</v>
      </c>
      <c r="F126" s="523">
        <f>50</f>
        <v>50</v>
      </c>
      <c r="G126" s="685">
        <f t="shared" si="20"/>
        <v>25</v>
      </c>
      <c r="H126" s="685">
        <f t="shared" si="28"/>
        <v>25</v>
      </c>
    </row>
    <row r="127" spans="1:8" x14ac:dyDescent="0.25">
      <c r="A127" s="395">
        <v>32999</v>
      </c>
      <c r="B127" s="396" t="s">
        <v>144</v>
      </c>
      <c r="C127" s="523">
        <v>2941.87</v>
      </c>
      <c r="D127" s="523">
        <v>5772.53</v>
      </c>
      <c r="E127" s="523">
        <v>5772.53</v>
      </c>
      <c r="F127" s="523">
        <f>2642.77-F341</f>
        <v>2642.77</v>
      </c>
      <c r="G127" s="685">
        <f t="shared" si="20"/>
        <v>45.781832229542339</v>
      </c>
      <c r="H127" s="685">
        <f t="shared" si="28"/>
        <v>45.781832229542339</v>
      </c>
    </row>
    <row r="128" spans="1:8" x14ac:dyDescent="0.25">
      <c r="A128" s="419">
        <v>34</v>
      </c>
      <c r="B128" s="420" t="s">
        <v>153</v>
      </c>
      <c r="C128" s="421">
        <f>C129</f>
        <v>2811.2200000000003</v>
      </c>
      <c r="D128" s="421">
        <f>D129</f>
        <v>9972.52</v>
      </c>
      <c r="E128" s="421">
        <f>E129</f>
        <v>9972.52</v>
      </c>
      <c r="F128" s="421">
        <f t="shared" ref="F128" si="41">F129</f>
        <v>3054.41</v>
      </c>
      <c r="G128" s="684">
        <f t="shared" si="20"/>
        <v>30.628266476276806</v>
      </c>
      <c r="H128" s="684">
        <f t="shared" si="28"/>
        <v>30.628266476276806</v>
      </c>
    </row>
    <row r="129" spans="1:9" s="764" customFormat="1" x14ac:dyDescent="0.25">
      <c r="A129" s="436">
        <v>343</v>
      </c>
      <c r="B129" s="437" t="s">
        <v>154</v>
      </c>
      <c r="C129" s="424">
        <f>C130+C132+C133+C138</f>
        <v>2811.2200000000003</v>
      </c>
      <c r="D129" s="424">
        <f>D130+D132+D133+D138</f>
        <v>9972.52</v>
      </c>
      <c r="E129" s="424">
        <f>E130+E132+E133+E138</f>
        <v>9972.52</v>
      </c>
      <c r="F129" s="424">
        <f>F130+F132+F133+F138</f>
        <v>3054.41</v>
      </c>
      <c r="G129" s="685">
        <f t="shared" si="20"/>
        <v>30.628266476276806</v>
      </c>
      <c r="H129" s="685">
        <f t="shared" si="28"/>
        <v>30.628266476276806</v>
      </c>
      <c r="I129" s="837"/>
    </row>
    <row r="130" spans="1:9" s="764" customFormat="1" x14ac:dyDescent="0.25">
      <c r="A130" s="453" t="s">
        <v>155</v>
      </c>
      <c r="B130" s="527" t="s">
        <v>156</v>
      </c>
      <c r="C130" s="424">
        <f>SUM(C131)</f>
        <v>1576.39</v>
      </c>
      <c r="D130" s="424">
        <f>SUM(D131)</f>
        <v>5308.91</v>
      </c>
      <c r="E130" s="424">
        <f>SUM(E131)</f>
        <v>5308.91</v>
      </c>
      <c r="F130" s="424">
        <f t="shared" ref="F130" si="42">SUM(F131)</f>
        <v>2832.18</v>
      </c>
      <c r="G130" s="685">
        <f t="shared" si="20"/>
        <v>53.347674004645015</v>
      </c>
      <c r="H130" s="685">
        <f t="shared" si="28"/>
        <v>53.347674004645015</v>
      </c>
      <c r="I130" s="837"/>
    </row>
    <row r="131" spans="1:9" x14ac:dyDescent="0.25">
      <c r="A131" s="432">
        <v>34312</v>
      </c>
      <c r="B131" s="433" t="s">
        <v>156</v>
      </c>
      <c r="C131" s="523">
        <v>1576.39</v>
      </c>
      <c r="D131" s="523">
        <v>5308.91</v>
      </c>
      <c r="E131" s="523">
        <v>5308.91</v>
      </c>
      <c r="F131" s="523">
        <f>2832.18</f>
        <v>2832.18</v>
      </c>
      <c r="G131" s="685">
        <f t="shared" si="20"/>
        <v>53.347674004645015</v>
      </c>
      <c r="H131" s="685">
        <f t="shared" si="28"/>
        <v>53.347674004645015</v>
      </c>
    </row>
    <row r="132" spans="1:9" x14ac:dyDescent="0.25">
      <c r="A132" s="453">
        <v>3432</v>
      </c>
      <c r="B132" s="527" t="s">
        <v>205</v>
      </c>
      <c r="C132" s="524"/>
      <c r="D132" s="524"/>
      <c r="E132" s="524"/>
      <c r="F132" s="524"/>
      <c r="G132" s="685" t="e">
        <f t="shared" si="20"/>
        <v>#DIV/0!</v>
      </c>
      <c r="H132" s="685" t="e">
        <f t="shared" si="28"/>
        <v>#DIV/0!</v>
      </c>
    </row>
    <row r="133" spans="1:9" x14ac:dyDescent="0.25">
      <c r="A133" s="393">
        <v>3433</v>
      </c>
      <c r="B133" s="394" t="s">
        <v>157</v>
      </c>
      <c r="C133" s="524">
        <f>SUM(C134:C137)</f>
        <v>892.03</v>
      </c>
      <c r="D133" s="524">
        <f>SUM(D134:D137)</f>
        <v>4663.6099999999997</v>
      </c>
      <c r="E133" s="524">
        <f>SUM(E134:E137)</f>
        <v>4663.6099999999997</v>
      </c>
      <c r="F133" s="524">
        <f t="shared" ref="F133" si="43">SUM(F134:F137)</f>
        <v>222.23</v>
      </c>
      <c r="G133" s="685">
        <f t="shared" si="20"/>
        <v>4.7651926297439111</v>
      </c>
      <c r="H133" s="685">
        <f t="shared" si="28"/>
        <v>4.7651926297439111</v>
      </c>
    </row>
    <row r="134" spans="1:9" x14ac:dyDescent="0.25">
      <c r="A134" s="432">
        <v>34331</v>
      </c>
      <c r="B134" s="433" t="s">
        <v>439</v>
      </c>
      <c r="C134" s="523">
        <v>11.9</v>
      </c>
      <c r="D134" s="523">
        <v>100</v>
      </c>
      <c r="E134" s="523">
        <v>100</v>
      </c>
      <c r="F134" s="523">
        <f>0</f>
        <v>0</v>
      </c>
      <c r="G134" s="685">
        <f t="shared" si="20"/>
        <v>0</v>
      </c>
      <c r="H134" s="685">
        <f t="shared" si="28"/>
        <v>0</v>
      </c>
    </row>
    <row r="135" spans="1:9" x14ac:dyDescent="0.25">
      <c r="A135" s="432">
        <v>34332</v>
      </c>
      <c r="B135" s="433" t="s">
        <v>440</v>
      </c>
      <c r="C135" s="523">
        <v>315.98</v>
      </c>
      <c r="D135" s="523">
        <v>550</v>
      </c>
      <c r="E135" s="523">
        <v>550</v>
      </c>
      <c r="F135" s="523">
        <f>0</f>
        <v>0</v>
      </c>
      <c r="G135" s="685">
        <f t="shared" si="20"/>
        <v>0</v>
      </c>
      <c r="H135" s="685">
        <f t="shared" si="28"/>
        <v>0</v>
      </c>
    </row>
    <row r="136" spans="1:9" x14ac:dyDescent="0.25">
      <c r="A136" s="432">
        <v>34333</v>
      </c>
      <c r="B136" s="433" t="s">
        <v>441</v>
      </c>
      <c r="C136" s="523">
        <v>3.2</v>
      </c>
      <c r="D136" s="523">
        <v>75</v>
      </c>
      <c r="E136" s="523">
        <v>75</v>
      </c>
      <c r="F136" s="523">
        <f>222.23</f>
        <v>222.23</v>
      </c>
      <c r="G136" s="685">
        <f t="shared" si="20"/>
        <v>296.30666666666667</v>
      </c>
      <c r="H136" s="685">
        <f t="shared" si="28"/>
        <v>296.30666666666667</v>
      </c>
    </row>
    <row r="137" spans="1:9" x14ac:dyDescent="0.25">
      <c r="A137" s="395">
        <v>34339</v>
      </c>
      <c r="B137" s="396" t="s">
        <v>442</v>
      </c>
      <c r="C137" s="523">
        <v>560.95000000000005</v>
      </c>
      <c r="D137" s="523">
        <f>4663.61-D134-D135-D136</f>
        <v>3938.6099999999997</v>
      </c>
      <c r="E137" s="523">
        <v>3938.6099999999997</v>
      </c>
      <c r="F137" s="523">
        <f>0</f>
        <v>0</v>
      </c>
      <c r="G137" s="685">
        <f t="shared" si="20"/>
        <v>0</v>
      </c>
      <c r="H137" s="685">
        <f t="shared" si="28"/>
        <v>0</v>
      </c>
    </row>
    <row r="138" spans="1:9" x14ac:dyDescent="0.25">
      <c r="A138" s="393">
        <v>3434</v>
      </c>
      <c r="B138" s="394" t="s">
        <v>291</v>
      </c>
      <c r="C138" s="524">
        <f>C139</f>
        <v>342.8</v>
      </c>
      <c r="D138" s="524">
        <f>D139</f>
        <v>0</v>
      </c>
      <c r="E138" s="524">
        <f>E139</f>
        <v>0</v>
      </c>
      <c r="F138" s="524">
        <f>F139</f>
        <v>0</v>
      </c>
      <c r="G138" s="685" t="e">
        <f t="shared" si="20"/>
        <v>#DIV/0!</v>
      </c>
      <c r="H138" s="685" t="e">
        <f t="shared" si="28"/>
        <v>#DIV/0!</v>
      </c>
    </row>
    <row r="139" spans="1:9" x14ac:dyDescent="0.25">
      <c r="A139" s="474">
        <v>34349</v>
      </c>
      <c r="B139" s="529" t="s">
        <v>291</v>
      </c>
      <c r="C139" s="523">
        <v>342.8</v>
      </c>
      <c r="D139" s="523"/>
      <c r="E139" s="523"/>
      <c r="F139" s="523">
        <f>0</f>
        <v>0</v>
      </c>
      <c r="G139" s="685" t="e">
        <f t="shared" si="20"/>
        <v>#DIV/0!</v>
      </c>
      <c r="H139" s="685" t="e">
        <f t="shared" si="28"/>
        <v>#DIV/0!</v>
      </c>
    </row>
    <row r="140" spans="1:9" s="761" customFormat="1" x14ac:dyDescent="0.25">
      <c r="A140" s="439">
        <v>36</v>
      </c>
      <c r="B140" s="440" t="s">
        <v>292</v>
      </c>
      <c r="C140" s="526">
        <f t="shared" ref="C140:F141" si="44">C141</f>
        <v>0</v>
      </c>
      <c r="D140" s="526">
        <f t="shared" si="44"/>
        <v>0</v>
      </c>
      <c r="E140" s="526">
        <f t="shared" si="44"/>
        <v>0</v>
      </c>
      <c r="F140" s="526">
        <f t="shared" si="44"/>
        <v>0</v>
      </c>
      <c r="G140" s="685" t="e">
        <f t="shared" ref="G140:G205" si="45">F140/D140*100</f>
        <v>#DIV/0!</v>
      </c>
      <c r="H140" s="685" t="e">
        <f t="shared" si="28"/>
        <v>#DIV/0!</v>
      </c>
      <c r="I140" s="830"/>
    </row>
    <row r="141" spans="1:9" s="761" customFormat="1" x14ac:dyDescent="0.25">
      <c r="A141" s="441">
        <v>369</v>
      </c>
      <c r="B141" s="442" t="s">
        <v>316</v>
      </c>
      <c r="C141" s="524">
        <f t="shared" si="44"/>
        <v>0</v>
      </c>
      <c r="D141" s="524">
        <f t="shared" si="44"/>
        <v>0</v>
      </c>
      <c r="E141" s="524">
        <f t="shared" si="44"/>
        <v>0</v>
      </c>
      <c r="F141" s="524">
        <f t="shared" si="44"/>
        <v>0</v>
      </c>
      <c r="G141" s="685" t="e">
        <f t="shared" si="45"/>
        <v>#DIV/0!</v>
      </c>
      <c r="H141" s="685" t="e">
        <f t="shared" si="28"/>
        <v>#DIV/0!</v>
      </c>
      <c r="I141" s="830"/>
    </row>
    <row r="142" spans="1:9" x14ac:dyDescent="0.25">
      <c r="A142" s="395">
        <v>3692</v>
      </c>
      <c r="B142" s="396" t="s">
        <v>317</v>
      </c>
      <c r="C142" s="523"/>
      <c r="D142" s="523"/>
      <c r="E142" s="523"/>
      <c r="F142" s="523"/>
      <c r="G142" s="685" t="e">
        <f t="shared" si="45"/>
        <v>#DIV/0!</v>
      </c>
      <c r="H142" s="685" t="e">
        <f t="shared" si="28"/>
        <v>#DIV/0!</v>
      </c>
    </row>
    <row r="143" spans="1:9" s="761" customFormat="1" x14ac:dyDescent="0.25">
      <c r="A143" s="439">
        <v>37</v>
      </c>
      <c r="B143" s="440" t="s">
        <v>318</v>
      </c>
      <c r="C143" s="421">
        <f t="shared" ref="C143:F144" si="46">C144</f>
        <v>9591.11</v>
      </c>
      <c r="D143" s="421">
        <f t="shared" si="46"/>
        <v>2000</v>
      </c>
      <c r="E143" s="421">
        <f t="shared" si="46"/>
        <v>2000</v>
      </c>
      <c r="F143" s="421">
        <f t="shared" si="46"/>
        <v>0</v>
      </c>
      <c r="G143" s="684">
        <f t="shared" si="45"/>
        <v>0</v>
      </c>
      <c r="H143" s="684">
        <f t="shared" si="28"/>
        <v>0</v>
      </c>
      <c r="I143" s="830"/>
    </row>
    <row r="144" spans="1:9" s="761" customFormat="1" x14ac:dyDescent="0.25">
      <c r="A144" s="441">
        <v>372</v>
      </c>
      <c r="B144" s="442" t="s">
        <v>163</v>
      </c>
      <c r="C144" s="424">
        <f>C145</f>
        <v>9591.11</v>
      </c>
      <c r="D144" s="424">
        <f>D145</f>
        <v>2000</v>
      </c>
      <c r="E144" s="424">
        <f>E145</f>
        <v>2000</v>
      </c>
      <c r="F144" s="424">
        <f t="shared" si="46"/>
        <v>0</v>
      </c>
      <c r="G144" s="685">
        <f t="shared" si="45"/>
        <v>0</v>
      </c>
      <c r="H144" s="685">
        <f t="shared" si="28"/>
        <v>0</v>
      </c>
      <c r="I144" s="830"/>
    </row>
    <row r="145" spans="1:9" s="761" customFormat="1" x14ac:dyDescent="0.25">
      <c r="A145" s="393">
        <v>3721</v>
      </c>
      <c r="B145" s="394" t="s">
        <v>319</v>
      </c>
      <c r="C145" s="424">
        <f>SUM(C146:C147)</f>
        <v>9591.11</v>
      </c>
      <c r="D145" s="424">
        <f>SUM(D146:D147)</f>
        <v>2000</v>
      </c>
      <c r="E145" s="424">
        <f>SUM(E146:E147)</f>
        <v>2000</v>
      </c>
      <c r="F145" s="424">
        <f t="shared" ref="F145" si="47">SUM(F146:F147)</f>
        <v>0</v>
      </c>
      <c r="G145" s="685">
        <f t="shared" si="45"/>
        <v>0</v>
      </c>
      <c r="H145" s="685">
        <f t="shared" si="28"/>
        <v>0</v>
      </c>
      <c r="I145" s="830"/>
    </row>
    <row r="146" spans="1:9" s="761" customFormat="1" x14ac:dyDescent="0.25">
      <c r="A146" s="474">
        <v>37212</v>
      </c>
      <c r="B146" s="529" t="s">
        <v>493</v>
      </c>
      <c r="C146" s="429">
        <v>0</v>
      </c>
      <c r="D146" s="429">
        <v>1500</v>
      </c>
      <c r="E146" s="429">
        <v>1500</v>
      </c>
      <c r="F146" s="429"/>
      <c r="G146" s="685">
        <f t="shared" si="45"/>
        <v>0</v>
      </c>
      <c r="H146" s="685">
        <f t="shared" si="28"/>
        <v>0</v>
      </c>
      <c r="I146" s="830"/>
    </row>
    <row r="147" spans="1:9" x14ac:dyDescent="0.25">
      <c r="A147" s="395">
        <v>37215</v>
      </c>
      <c r="B147" s="396" t="s">
        <v>444</v>
      </c>
      <c r="C147" s="523">
        <v>9591.11</v>
      </c>
      <c r="D147" s="523">
        <v>500</v>
      </c>
      <c r="E147" s="523">
        <v>500</v>
      </c>
      <c r="F147" s="523">
        <f>0</f>
        <v>0</v>
      </c>
      <c r="G147" s="685">
        <f t="shared" si="45"/>
        <v>0</v>
      </c>
      <c r="H147" s="685">
        <f t="shared" si="28"/>
        <v>0</v>
      </c>
    </row>
    <row r="148" spans="1:9" x14ac:dyDescent="0.25">
      <c r="A148" s="419" t="s">
        <v>165</v>
      </c>
      <c r="B148" s="420" t="s">
        <v>98</v>
      </c>
      <c r="C148" s="421">
        <f>C149+C151+C157</f>
        <v>186.57</v>
      </c>
      <c r="D148" s="421">
        <f>D149+D151+D157</f>
        <v>500</v>
      </c>
      <c r="E148" s="421">
        <f>E149+E151+E157</f>
        <v>500</v>
      </c>
      <c r="F148" s="421">
        <f>F149+F151+F157</f>
        <v>216.96</v>
      </c>
      <c r="G148" s="684">
        <f t="shared" si="45"/>
        <v>43.392000000000003</v>
      </c>
      <c r="H148" s="684">
        <f t="shared" si="28"/>
        <v>43.392000000000003</v>
      </c>
    </row>
    <row r="149" spans="1:9" s="764" customFormat="1" x14ac:dyDescent="0.25">
      <c r="A149" s="422" t="s">
        <v>166</v>
      </c>
      <c r="B149" s="443" t="s">
        <v>167</v>
      </c>
      <c r="C149" s="424">
        <f>C150</f>
        <v>0</v>
      </c>
      <c r="D149" s="424">
        <f>D150</f>
        <v>0</v>
      </c>
      <c r="E149" s="424">
        <f>E150</f>
        <v>0</v>
      </c>
      <c r="F149" s="424">
        <f t="shared" ref="F149" si="48">F150</f>
        <v>0</v>
      </c>
      <c r="G149" s="685" t="e">
        <f t="shared" si="45"/>
        <v>#DIV/0!</v>
      </c>
      <c r="H149" s="685" t="e">
        <f t="shared" si="28"/>
        <v>#DIV/0!</v>
      </c>
      <c r="I149" s="837"/>
    </row>
    <row r="150" spans="1:9" x14ac:dyDescent="0.25">
      <c r="A150" s="463" t="s">
        <v>168</v>
      </c>
      <c r="B150" s="530" t="s">
        <v>167</v>
      </c>
      <c r="C150" s="524"/>
      <c r="D150" s="524"/>
      <c r="E150" s="524"/>
      <c r="F150" s="524"/>
      <c r="G150" s="685" t="e">
        <f t="shared" si="45"/>
        <v>#DIV/0!</v>
      </c>
      <c r="H150" s="685" t="e">
        <f t="shared" si="28"/>
        <v>#DIV/0!</v>
      </c>
    </row>
    <row r="151" spans="1:9" x14ac:dyDescent="0.25">
      <c r="A151" s="393">
        <v>383</v>
      </c>
      <c r="B151" s="394" t="s">
        <v>169</v>
      </c>
      <c r="C151" s="424">
        <f>C152+C153+C154+C156</f>
        <v>66.069999999999993</v>
      </c>
      <c r="D151" s="424">
        <f>D152+D153+D154+D156</f>
        <v>500</v>
      </c>
      <c r="E151" s="424">
        <f>E152+E153+E154+E156</f>
        <v>500</v>
      </c>
      <c r="F151" s="424">
        <f>F152+F153+F154+F156</f>
        <v>63.53</v>
      </c>
      <c r="G151" s="685">
        <f t="shared" si="45"/>
        <v>12.706000000000001</v>
      </c>
      <c r="H151" s="685">
        <f t="shared" si="28"/>
        <v>12.706000000000001</v>
      </c>
    </row>
    <row r="152" spans="1:9" x14ac:dyDescent="0.25">
      <c r="A152" s="393">
        <v>3831</v>
      </c>
      <c r="B152" s="394" t="s">
        <v>320</v>
      </c>
      <c r="C152" s="524"/>
      <c r="D152" s="524"/>
      <c r="E152" s="524"/>
      <c r="F152" s="524"/>
      <c r="G152" s="685" t="e">
        <f t="shared" si="45"/>
        <v>#DIV/0!</v>
      </c>
      <c r="H152" s="685" t="e">
        <f t="shared" si="28"/>
        <v>#DIV/0!</v>
      </c>
    </row>
    <row r="153" spans="1:9" s="766" customFormat="1" x14ac:dyDescent="0.25">
      <c r="A153" s="393">
        <v>3833</v>
      </c>
      <c r="B153" s="394" t="s">
        <v>171</v>
      </c>
      <c r="C153" s="524"/>
      <c r="D153" s="524"/>
      <c r="E153" s="524"/>
      <c r="F153" s="524"/>
      <c r="G153" s="685" t="e">
        <f t="shared" si="45"/>
        <v>#DIV/0!</v>
      </c>
      <c r="H153" s="685" t="e">
        <f t="shared" si="28"/>
        <v>#DIV/0!</v>
      </c>
      <c r="I153" s="838"/>
    </row>
    <row r="154" spans="1:9" s="766" customFormat="1" x14ac:dyDescent="0.25">
      <c r="A154" s="393">
        <v>3834</v>
      </c>
      <c r="B154" s="394" t="s">
        <v>172</v>
      </c>
      <c r="C154" s="524">
        <f t="shared" ref="C154:F154" si="49">SUM(C155)</f>
        <v>66.069999999999993</v>
      </c>
      <c r="D154" s="524">
        <f t="shared" si="49"/>
        <v>500</v>
      </c>
      <c r="E154" s="524">
        <f t="shared" si="49"/>
        <v>500</v>
      </c>
      <c r="F154" s="524">
        <f t="shared" si="49"/>
        <v>63.53</v>
      </c>
      <c r="G154" s="685">
        <f t="shared" si="45"/>
        <v>12.706000000000001</v>
      </c>
      <c r="H154" s="685">
        <f t="shared" si="28"/>
        <v>12.706000000000001</v>
      </c>
      <c r="I154" s="838"/>
    </row>
    <row r="155" spans="1:9" s="766" customFormat="1" x14ac:dyDescent="0.25">
      <c r="A155" s="474">
        <v>38341</v>
      </c>
      <c r="B155" s="529" t="s">
        <v>172</v>
      </c>
      <c r="C155" s="523">
        <v>66.069999999999993</v>
      </c>
      <c r="D155" s="523">
        <v>500</v>
      </c>
      <c r="E155" s="523">
        <v>500</v>
      </c>
      <c r="F155" s="523">
        <v>63.53</v>
      </c>
      <c r="G155" s="685">
        <f t="shared" si="45"/>
        <v>12.706000000000001</v>
      </c>
      <c r="H155" s="685">
        <f t="shared" si="28"/>
        <v>12.706000000000001</v>
      </c>
      <c r="I155" s="838"/>
    </row>
    <row r="156" spans="1:9" s="766" customFormat="1" x14ac:dyDescent="0.25">
      <c r="A156" s="393">
        <v>3835</v>
      </c>
      <c r="B156" s="394" t="s">
        <v>173</v>
      </c>
      <c r="C156" s="524"/>
      <c r="D156" s="524"/>
      <c r="E156" s="524"/>
      <c r="F156" s="524"/>
      <c r="G156" s="685" t="e">
        <f t="shared" si="45"/>
        <v>#DIV/0!</v>
      </c>
      <c r="H156" s="685" t="e">
        <f t="shared" si="28"/>
        <v>#DIV/0!</v>
      </c>
      <c r="I156" s="838"/>
    </row>
    <row r="157" spans="1:9" s="766" customFormat="1" x14ac:dyDescent="0.25">
      <c r="A157" s="393">
        <v>385</v>
      </c>
      <c r="B157" s="394" t="s">
        <v>169</v>
      </c>
      <c r="C157" s="524">
        <f>C160</f>
        <v>120.5</v>
      </c>
      <c r="D157" s="524">
        <f>D160</f>
        <v>0</v>
      </c>
      <c r="E157" s="524">
        <f>E158+E160</f>
        <v>0</v>
      </c>
      <c r="F157" s="524">
        <f t="shared" ref="F157:G157" si="50">F158+F160</f>
        <v>153.43</v>
      </c>
      <c r="G157" s="524" t="e">
        <f t="shared" si="50"/>
        <v>#DIV/0!</v>
      </c>
      <c r="H157" s="685" t="e">
        <f t="shared" si="28"/>
        <v>#DIV/0!</v>
      </c>
      <c r="I157" s="838"/>
    </row>
    <row r="158" spans="1:9" s="766" customFormat="1" x14ac:dyDescent="0.25">
      <c r="A158" s="393">
        <v>3851</v>
      </c>
      <c r="B158" s="394" t="s">
        <v>625</v>
      </c>
      <c r="C158" s="524"/>
      <c r="D158" s="524"/>
      <c r="E158" s="524">
        <f>E159</f>
        <v>0</v>
      </c>
      <c r="F158" s="524">
        <f>F159</f>
        <v>153.43</v>
      </c>
      <c r="G158" s="685"/>
      <c r="H158" s="685" t="e">
        <f t="shared" si="28"/>
        <v>#DIV/0!</v>
      </c>
      <c r="I158" s="838"/>
    </row>
    <row r="159" spans="1:9" s="766" customFormat="1" x14ac:dyDescent="0.25">
      <c r="A159" s="474">
        <v>38511</v>
      </c>
      <c r="B159" s="529" t="s">
        <v>626</v>
      </c>
      <c r="C159" s="861"/>
      <c r="D159" s="861"/>
      <c r="E159" s="861"/>
      <c r="F159" s="861">
        <v>153.43</v>
      </c>
      <c r="G159" s="685"/>
      <c r="H159" s="685" t="e">
        <f t="shared" si="28"/>
        <v>#DIV/0!</v>
      </c>
      <c r="I159" s="838"/>
    </row>
    <row r="160" spans="1:9" s="766" customFormat="1" x14ac:dyDescent="0.25">
      <c r="A160" s="393">
        <v>3859</v>
      </c>
      <c r="B160" s="394" t="s">
        <v>298</v>
      </c>
      <c r="C160" s="524">
        <f t="shared" ref="C160:F160" si="51">C161</f>
        <v>120.5</v>
      </c>
      <c r="D160" s="524">
        <f t="shared" si="51"/>
        <v>0</v>
      </c>
      <c r="E160" s="524">
        <f t="shared" si="51"/>
        <v>0</v>
      </c>
      <c r="F160" s="524">
        <f t="shared" si="51"/>
        <v>0</v>
      </c>
      <c r="G160" s="685" t="e">
        <f t="shared" si="45"/>
        <v>#DIV/0!</v>
      </c>
      <c r="H160" s="685" t="e">
        <f t="shared" si="28"/>
        <v>#DIV/0!</v>
      </c>
      <c r="I160" s="838"/>
    </row>
    <row r="161" spans="1:9" s="766" customFormat="1" x14ac:dyDescent="0.25">
      <c r="A161" s="474">
        <v>38591</v>
      </c>
      <c r="B161" s="529" t="s">
        <v>298</v>
      </c>
      <c r="C161" s="523">
        <v>120.5</v>
      </c>
      <c r="D161" s="523"/>
      <c r="E161" s="523"/>
      <c r="F161" s="523">
        <v>0</v>
      </c>
      <c r="G161" s="685" t="e">
        <f t="shared" si="45"/>
        <v>#DIV/0!</v>
      </c>
      <c r="H161" s="685" t="e">
        <f t="shared" si="28"/>
        <v>#DIV/0!</v>
      </c>
      <c r="I161" s="838"/>
    </row>
    <row r="162" spans="1:9" s="764" customFormat="1" x14ac:dyDescent="0.25">
      <c r="A162" s="445">
        <v>4</v>
      </c>
      <c r="B162" s="446" t="s">
        <v>174</v>
      </c>
      <c r="C162" s="447">
        <f>C163+C169+C191</f>
        <v>3269.45</v>
      </c>
      <c r="D162" s="447">
        <f>D163+D169+D191</f>
        <v>125512.17000000001</v>
      </c>
      <c r="E162" s="447">
        <f>E163+E169+E191</f>
        <v>125512.17000000001</v>
      </c>
      <c r="F162" s="447">
        <f>F163+F169+F191</f>
        <v>169919.99</v>
      </c>
      <c r="G162" s="687">
        <f t="shared" si="45"/>
        <v>135.38128613344824</v>
      </c>
      <c r="H162" s="687">
        <f t="shared" si="28"/>
        <v>135.38128613344824</v>
      </c>
      <c r="I162" s="837"/>
    </row>
    <row r="163" spans="1:9" x14ac:dyDescent="0.25">
      <c r="A163" s="419" t="s">
        <v>175</v>
      </c>
      <c r="B163" s="448" t="s">
        <v>176</v>
      </c>
      <c r="C163" s="421">
        <f>C164+C167</f>
        <v>0</v>
      </c>
      <c r="D163" s="421">
        <f>D164+D167</f>
        <v>0</v>
      </c>
      <c r="E163" s="421">
        <f>E164+E167</f>
        <v>0</v>
      </c>
      <c r="F163" s="421">
        <f t="shared" ref="F163" si="52">F164+F167</f>
        <v>0</v>
      </c>
      <c r="G163" s="684" t="e">
        <f t="shared" si="45"/>
        <v>#DIV/0!</v>
      </c>
      <c r="H163" s="684" t="e">
        <f t="shared" si="28"/>
        <v>#DIV/0!</v>
      </c>
    </row>
    <row r="164" spans="1:9" x14ac:dyDescent="0.25">
      <c r="A164" s="422" t="s">
        <v>177</v>
      </c>
      <c r="B164" s="449" t="s">
        <v>178</v>
      </c>
      <c r="C164" s="424">
        <f>C165</f>
        <v>0</v>
      </c>
      <c r="D164" s="424">
        <f>D165</f>
        <v>0</v>
      </c>
      <c r="E164" s="424">
        <f>E165</f>
        <v>0</v>
      </c>
      <c r="F164" s="424">
        <f t="shared" ref="F164" si="53">F166</f>
        <v>0</v>
      </c>
      <c r="G164" s="685" t="e">
        <f t="shared" si="45"/>
        <v>#DIV/0!</v>
      </c>
      <c r="H164" s="685" t="e">
        <f t="shared" ref="H164:H227" si="54">F164/E164*100</f>
        <v>#DIV/0!</v>
      </c>
    </row>
    <row r="165" spans="1:9" x14ac:dyDescent="0.25">
      <c r="A165" s="422" t="s">
        <v>179</v>
      </c>
      <c r="B165" s="449" t="s">
        <v>180</v>
      </c>
      <c r="C165" s="424">
        <f>SUM(C166)</f>
        <v>0</v>
      </c>
      <c r="D165" s="424">
        <f>SUM(D166)</f>
        <v>0</v>
      </c>
      <c r="E165" s="424">
        <f>SUM(E166)</f>
        <v>0</v>
      </c>
      <c r="F165" s="424">
        <f t="shared" ref="F165" si="55">SUM(F166)</f>
        <v>0</v>
      </c>
      <c r="G165" s="685" t="e">
        <f t="shared" si="45"/>
        <v>#DIV/0!</v>
      </c>
      <c r="H165" s="685" t="e">
        <f t="shared" si="54"/>
        <v>#DIV/0!</v>
      </c>
    </row>
    <row r="166" spans="1:9" s="767" customFormat="1" x14ac:dyDescent="0.25">
      <c r="A166" s="425" t="s">
        <v>494</v>
      </c>
      <c r="B166" s="450" t="s">
        <v>180</v>
      </c>
      <c r="C166" s="429"/>
      <c r="D166" s="429"/>
      <c r="E166" s="429"/>
      <c r="F166" s="429"/>
      <c r="G166" s="685" t="e">
        <f t="shared" si="45"/>
        <v>#DIV/0!</v>
      </c>
      <c r="H166" s="685" t="e">
        <f t="shared" si="54"/>
        <v>#DIV/0!</v>
      </c>
      <c r="I166" s="829"/>
    </row>
    <row r="167" spans="1:9" s="764" customFormat="1" x14ac:dyDescent="0.25">
      <c r="A167" s="436">
        <v>412</v>
      </c>
      <c r="B167" s="451" t="s">
        <v>181</v>
      </c>
      <c r="C167" s="46">
        <f>C168</f>
        <v>0</v>
      </c>
      <c r="D167" s="46">
        <f>D168</f>
        <v>0</v>
      </c>
      <c r="E167" s="46">
        <f>E168</f>
        <v>0</v>
      </c>
      <c r="F167" s="46">
        <f t="shared" ref="F167" si="56">F168</f>
        <v>0</v>
      </c>
      <c r="G167" s="685" t="e">
        <f t="shared" si="45"/>
        <v>#DIV/0!</v>
      </c>
      <c r="H167" s="685" t="e">
        <f t="shared" si="54"/>
        <v>#DIV/0!</v>
      </c>
      <c r="I167" s="837"/>
    </row>
    <row r="168" spans="1:9" s="768" customFormat="1" x14ac:dyDescent="0.25">
      <c r="A168" s="453">
        <v>4123</v>
      </c>
      <c r="B168" s="531" t="s">
        <v>182</v>
      </c>
      <c r="C168" s="523">
        <v>0</v>
      </c>
      <c r="D168" s="523">
        <v>0</v>
      </c>
      <c r="E168" s="523">
        <v>0</v>
      </c>
      <c r="F168" s="523">
        <v>0</v>
      </c>
      <c r="G168" s="685" t="e">
        <f t="shared" si="45"/>
        <v>#DIV/0!</v>
      </c>
      <c r="H168" s="685" t="e">
        <f t="shared" si="54"/>
        <v>#DIV/0!</v>
      </c>
      <c r="I168" s="839"/>
    </row>
    <row r="169" spans="1:9" s="760" customFormat="1" x14ac:dyDescent="0.25">
      <c r="A169" s="692">
        <v>42</v>
      </c>
      <c r="B169" s="693" t="s">
        <v>183</v>
      </c>
      <c r="C169" s="421">
        <f>C170+C186+C189</f>
        <v>3269.45</v>
      </c>
      <c r="D169" s="421">
        <f>D170+D186+D189</f>
        <v>102328.35</v>
      </c>
      <c r="E169" s="421">
        <f>E170+E186+E189</f>
        <v>102328.35</v>
      </c>
      <c r="F169" s="421">
        <f t="shared" ref="F169" si="57">F170+F186+F189</f>
        <v>138918.74</v>
      </c>
      <c r="G169" s="684">
        <f t="shared" si="45"/>
        <v>135.7578227343644</v>
      </c>
      <c r="H169" s="684">
        <f t="shared" si="54"/>
        <v>135.7578227343644</v>
      </c>
      <c r="I169" s="834"/>
    </row>
    <row r="170" spans="1:9" s="764" customFormat="1" x14ac:dyDescent="0.25">
      <c r="A170" s="422">
        <v>422</v>
      </c>
      <c r="B170" s="423" t="s">
        <v>184</v>
      </c>
      <c r="C170" s="424">
        <f>C171+C175+C176+C179+C182+C184</f>
        <v>3269.45</v>
      </c>
      <c r="D170" s="424">
        <f>D171+D175+D176+D179+D182+D184</f>
        <v>95606.07</v>
      </c>
      <c r="E170" s="424">
        <f>E171+E175+E176+E179+E182+E184</f>
        <v>95606.07</v>
      </c>
      <c r="F170" s="424">
        <f t="shared" ref="F170" si="58">F171+F175+F176+F179+F182+F184</f>
        <v>138918.74</v>
      </c>
      <c r="G170" s="685">
        <f t="shared" si="45"/>
        <v>145.3032636944495</v>
      </c>
      <c r="H170" s="685">
        <f t="shared" si="54"/>
        <v>145.3032636944495</v>
      </c>
      <c r="I170" s="837"/>
    </row>
    <row r="171" spans="1:9" s="764" customFormat="1" x14ac:dyDescent="0.25">
      <c r="A171" s="463" t="s">
        <v>185</v>
      </c>
      <c r="B171" s="466" t="s">
        <v>186</v>
      </c>
      <c r="C171" s="424">
        <f>SUM(C172:C174)</f>
        <v>668.13</v>
      </c>
      <c r="D171" s="424">
        <f>SUM(D172:D174)</f>
        <v>13272.28</v>
      </c>
      <c r="E171" s="424">
        <f>SUM(E172:E174)</f>
        <v>13272.28</v>
      </c>
      <c r="F171" s="424">
        <f t="shared" ref="F171" si="59">SUM(F172:F174)</f>
        <v>0</v>
      </c>
      <c r="G171" s="685">
        <f t="shared" si="45"/>
        <v>0</v>
      </c>
      <c r="H171" s="685">
        <f t="shared" si="54"/>
        <v>0</v>
      </c>
      <c r="I171" s="837"/>
    </row>
    <row r="172" spans="1:9" s="764" customFormat="1" x14ac:dyDescent="0.25">
      <c r="A172" s="468">
        <v>42211</v>
      </c>
      <c r="B172" s="476" t="s">
        <v>445</v>
      </c>
      <c r="C172" s="429">
        <v>253.13</v>
      </c>
      <c r="D172" s="429">
        <v>1250</v>
      </c>
      <c r="E172" s="429">
        <v>1250</v>
      </c>
      <c r="F172" s="755">
        <f>0-F462</f>
        <v>0</v>
      </c>
      <c r="G172" s="685">
        <f t="shared" si="45"/>
        <v>0</v>
      </c>
      <c r="H172" s="685">
        <f t="shared" si="54"/>
        <v>0</v>
      </c>
      <c r="I172" s="837"/>
    </row>
    <row r="173" spans="1:9" s="764" customFormat="1" x14ac:dyDescent="0.25">
      <c r="A173" s="468">
        <v>42212</v>
      </c>
      <c r="B173" s="476" t="s">
        <v>446</v>
      </c>
      <c r="C173" s="429">
        <v>415</v>
      </c>
      <c r="D173" s="429">
        <v>10672.28</v>
      </c>
      <c r="E173" s="429">
        <v>10672.28</v>
      </c>
      <c r="F173" s="429">
        <f>0-F463-F604</f>
        <v>0</v>
      </c>
      <c r="G173" s="685">
        <f t="shared" si="45"/>
        <v>0</v>
      </c>
      <c r="H173" s="685">
        <f t="shared" si="54"/>
        <v>0</v>
      </c>
      <c r="I173" s="837"/>
    </row>
    <row r="174" spans="1:9" x14ac:dyDescent="0.25">
      <c r="A174" s="425">
        <v>42219</v>
      </c>
      <c r="B174" s="426" t="s">
        <v>447</v>
      </c>
      <c r="C174" s="523">
        <v>0</v>
      </c>
      <c r="D174" s="523">
        <v>1350</v>
      </c>
      <c r="E174" s="523">
        <v>1350</v>
      </c>
      <c r="F174" s="523">
        <v>0</v>
      </c>
      <c r="G174" s="685">
        <f t="shared" si="45"/>
        <v>0</v>
      </c>
      <c r="H174" s="685">
        <f t="shared" si="54"/>
        <v>0</v>
      </c>
    </row>
    <row r="175" spans="1:9" x14ac:dyDescent="0.25">
      <c r="A175" s="463" t="s">
        <v>187</v>
      </c>
      <c r="B175" s="466" t="s">
        <v>188</v>
      </c>
      <c r="C175" s="524"/>
      <c r="D175" s="524"/>
      <c r="E175" s="524"/>
      <c r="F175" s="524"/>
      <c r="G175" s="685" t="e">
        <f t="shared" si="45"/>
        <v>#DIV/0!</v>
      </c>
      <c r="H175" s="685" t="e">
        <f t="shared" si="54"/>
        <v>#DIV/0!</v>
      </c>
    </row>
    <row r="176" spans="1:9" x14ac:dyDescent="0.25">
      <c r="A176" s="453">
        <v>4223</v>
      </c>
      <c r="B176" s="531" t="s">
        <v>189</v>
      </c>
      <c r="C176" s="524">
        <f>SUM(C177:C178)</f>
        <v>956.6</v>
      </c>
      <c r="D176" s="524">
        <f>SUM(D177:D178)</f>
        <v>13272.28</v>
      </c>
      <c r="E176" s="524">
        <f>SUM(E177:E178)</f>
        <v>13272.28</v>
      </c>
      <c r="F176" s="524">
        <f>SUM(F177:F178)</f>
        <v>0</v>
      </c>
      <c r="G176" s="685">
        <f t="shared" si="45"/>
        <v>0</v>
      </c>
      <c r="H176" s="685">
        <f t="shared" si="54"/>
        <v>0</v>
      </c>
    </row>
    <row r="177" spans="1:9" x14ac:dyDescent="0.25">
      <c r="A177" s="468">
        <v>42231</v>
      </c>
      <c r="B177" s="476" t="s">
        <v>449</v>
      </c>
      <c r="C177" s="523">
        <v>956.6</v>
      </c>
      <c r="D177" s="523">
        <v>12922.28</v>
      </c>
      <c r="E177" s="523">
        <v>12922.28</v>
      </c>
      <c r="F177" s="523">
        <f>0-F465-F606</f>
        <v>0</v>
      </c>
      <c r="G177" s="685">
        <f t="shared" si="45"/>
        <v>0</v>
      </c>
      <c r="H177" s="685">
        <f t="shared" si="54"/>
        <v>0</v>
      </c>
    </row>
    <row r="178" spans="1:9" x14ac:dyDescent="0.25">
      <c r="A178" s="432">
        <v>42232</v>
      </c>
      <c r="B178" s="452" t="s">
        <v>448</v>
      </c>
      <c r="C178" s="523">
        <v>0</v>
      </c>
      <c r="D178" s="523">
        <v>350</v>
      </c>
      <c r="E178" s="523">
        <v>350</v>
      </c>
      <c r="F178" s="523">
        <v>0</v>
      </c>
      <c r="G178" s="685">
        <f t="shared" si="45"/>
        <v>0</v>
      </c>
      <c r="H178" s="685">
        <f t="shared" si="54"/>
        <v>0</v>
      </c>
    </row>
    <row r="179" spans="1:9" x14ac:dyDescent="0.25">
      <c r="A179" s="453">
        <v>4224</v>
      </c>
      <c r="B179" s="531" t="s">
        <v>190</v>
      </c>
      <c r="C179" s="524">
        <f>SUM(C180:C181)</f>
        <v>1264.33</v>
      </c>
      <c r="D179" s="524">
        <f>SUM(D180:D181)</f>
        <v>59725.26</v>
      </c>
      <c r="E179" s="524">
        <f>SUM(E180:E181)</f>
        <v>59725.26</v>
      </c>
      <c r="F179" s="524">
        <f t="shared" ref="F179" si="60">SUM(F180:F181)</f>
        <v>132818.75</v>
      </c>
      <c r="G179" s="685">
        <f t="shared" si="45"/>
        <v>222.38287451574092</v>
      </c>
      <c r="H179" s="685">
        <f t="shared" si="54"/>
        <v>222.38287451574092</v>
      </c>
    </row>
    <row r="180" spans="1:9" x14ac:dyDescent="0.25">
      <c r="A180" s="432">
        <v>42241</v>
      </c>
      <c r="B180" s="452" t="s">
        <v>450</v>
      </c>
      <c r="C180" s="523">
        <v>1264.33</v>
      </c>
      <c r="D180" s="523">
        <v>57475.26</v>
      </c>
      <c r="E180" s="523">
        <v>57475.26</v>
      </c>
      <c r="F180" s="754">
        <f>132818.75-F395-F467-F667</f>
        <v>132818.75</v>
      </c>
      <c r="G180" s="685">
        <f t="shared" si="45"/>
        <v>231.08855879903808</v>
      </c>
      <c r="H180" s="685">
        <f t="shared" si="54"/>
        <v>231.08855879903808</v>
      </c>
    </row>
    <row r="181" spans="1:9" x14ac:dyDescent="0.25">
      <c r="A181" s="432">
        <v>42242</v>
      </c>
      <c r="B181" s="452" t="s">
        <v>451</v>
      </c>
      <c r="C181" s="523">
        <v>0</v>
      </c>
      <c r="D181" s="523">
        <v>2250</v>
      </c>
      <c r="E181" s="523">
        <v>2250</v>
      </c>
      <c r="F181" s="523">
        <v>0</v>
      </c>
      <c r="G181" s="685">
        <f t="shared" si="45"/>
        <v>0</v>
      </c>
      <c r="H181" s="685">
        <f t="shared" si="54"/>
        <v>0</v>
      </c>
    </row>
    <row r="182" spans="1:9" x14ac:dyDescent="0.25">
      <c r="A182" s="453">
        <v>4225</v>
      </c>
      <c r="B182" s="531" t="s">
        <v>191</v>
      </c>
      <c r="C182" s="524">
        <f>SUM(C183)</f>
        <v>0</v>
      </c>
      <c r="D182" s="524">
        <f>SUM(D183)</f>
        <v>5354.57</v>
      </c>
      <c r="E182" s="524">
        <f>SUM(E183)</f>
        <v>5354.57</v>
      </c>
      <c r="F182" s="524">
        <f t="shared" ref="F182" si="61">SUM(F183)</f>
        <v>5850</v>
      </c>
      <c r="G182" s="685">
        <f t="shared" si="45"/>
        <v>109.25247031974557</v>
      </c>
      <c r="H182" s="685">
        <f t="shared" si="54"/>
        <v>109.25247031974557</v>
      </c>
    </row>
    <row r="183" spans="1:9" s="768" customFormat="1" x14ac:dyDescent="0.25">
      <c r="A183" s="432">
        <v>42259</v>
      </c>
      <c r="B183" s="452" t="s">
        <v>495</v>
      </c>
      <c r="C183" s="523">
        <v>0</v>
      </c>
      <c r="D183" s="523">
        <v>5354.57</v>
      </c>
      <c r="E183" s="523">
        <v>5354.57</v>
      </c>
      <c r="F183" s="523">
        <f>5850-F469</f>
        <v>5850</v>
      </c>
      <c r="G183" s="685">
        <f t="shared" si="45"/>
        <v>109.25247031974557</v>
      </c>
      <c r="H183" s="685">
        <f t="shared" si="54"/>
        <v>109.25247031974557</v>
      </c>
      <c r="I183" s="839"/>
    </row>
    <row r="184" spans="1:9" s="768" customFormat="1" x14ac:dyDescent="0.25">
      <c r="A184" s="453">
        <v>4227</v>
      </c>
      <c r="B184" s="531" t="s">
        <v>192</v>
      </c>
      <c r="C184" s="524">
        <f>SUM(C185)</f>
        <v>380.39</v>
      </c>
      <c r="D184" s="524">
        <f>SUM(D185)</f>
        <v>3981.68</v>
      </c>
      <c r="E184" s="524">
        <f>SUM(E185)</f>
        <v>3981.68</v>
      </c>
      <c r="F184" s="524">
        <f t="shared" ref="F184" si="62">SUM(F185)</f>
        <v>249.99</v>
      </c>
      <c r="G184" s="685">
        <f t="shared" si="45"/>
        <v>6.2785055554439335</v>
      </c>
      <c r="H184" s="685">
        <f t="shared" si="54"/>
        <v>6.2785055554439335</v>
      </c>
      <c r="I184" s="839"/>
    </row>
    <row r="185" spans="1:9" s="768" customFormat="1" x14ac:dyDescent="0.25">
      <c r="A185" s="432">
        <v>42273</v>
      </c>
      <c r="B185" s="452" t="s">
        <v>192</v>
      </c>
      <c r="C185" s="523">
        <v>380.39</v>
      </c>
      <c r="D185" s="523">
        <v>3981.68</v>
      </c>
      <c r="E185" s="523">
        <v>3981.68</v>
      </c>
      <c r="F185" s="523">
        <f>249.99-F608</f>
        <v>249.99</v>
      </c>
      <c r="G185" s="685">
        <f t="shared" si="45"/>
        <v>6.2785055554439335</v>
      </c>
      <c r="H185" s="685">
        <f t="shared" si="54"/>
        <v>6.2785055554439335</v>
      </c>
      <c r="I185" s="839"/>
    </row>
    <row r="186" spans="1:9" s="769" customFormat="1" x14ac:dyDescent="0.25">
      <c r="A186" s="436">
        <v>423</v>
      </c>
      <c r="B186" s="451" t="s">
        <v>193</v>
      </c>
      <c r="C186" s="424">
        <f>C188</f>
        <v>0</v>
      </c>
      <c r="D186" s="424">
        <f>D188</f>
        <v>6722.28</v>
      </c>
      <c r="E186" s="424">
        <f>E188</f>
        <v>6722.28</v>
      </c>
      <c r="F186" s="424">
        <f t="shared" ref="F186" si="63">F188</f>
        <v>0</v>
      </c>
      <c r="G186" s="685">
        <f t="shared" si="45"/>
        <v>0</v>
      </c>
      <c r="H186" s="685">
        <f t="shared" si="54"/>
        <v>0</v>
      </c>
      <c r="I186" s="840"/>
    </row>
    <row r="187" spans="1:9" s="769" customFormat="1" x14ac:dyDescent="0.25">
      <c r="A187" s="453">
        <v>4231</v>
      </c>
      <c r="B187" s="531" t="s">
        <v>80</v>
      </c>
      <c r="C187" s="424">
        <f>SUM(C188)</f>
        <v>0</v>
      </c>
      <c r="D187" s="424">
        <f>SUM(D188)</f>
        <v>6722.28</v>
      </c>
      <c r="E187" s="424">
        <f>SUM(E188)</f>
        <v>6722.28</v>
      </c>
      <c r="F187" s="424">
        <f t="shared" ref="F187" si="64">SUM(F188)</f>
        <v>0</v>
      </c>
      <c r="G187" s="685">
        <f t="shared" si="45"/>
        <v>0</v>
      </c>
      <c r="H187" s="685">
        <f t="shared" si="54"/>
        <v>0</v>
      </c>
      <c r="I187" s="840"/>
    </row>
    <row r="188" spans="1:9" s="768" customFormat="1" x14ac:dyDescent="0.25">
      <c r="A188" s="432">
        <v>42311</v>
      </c>
      <c r="B188" s="452" t="s">
        <v>452</v>
      </c>
      <c r="C188" s="523">
        <v>0</v>
      </c>
      <c r="D188" s="523">
        <v>6722.28</v>
      </c>
      <c r="E188" s="523">
        <v>6722.28</v>
      </c>
      <c r="F188" s="523">
        <v>0</v>
      </c>
      <c r="G188" s="685">
        <f t="shared" si="45"/>
        <v>0</v>
      </c>
      <c r="H188" s="685">
        <f t="shared" si="54"/>
        <v>0</v>
      </c>
      <c r="I188" s="839"/>
    </row>
    <row r="189" spans="1:9" s="769" customFormat="1" hidden="1" x14ac:dyDescent="0.25">
      <c r="A189" s="453">
        <v>426</v>
      </c>
      <c r="B189" s="186" t="s">
        <v>194</v>
      </c>
      <c r="C189" s="46">
        <f>C190</f>
        <v>0</v>
      </c>
      <c r="D189" s="46">
        <f>D190</f>
        <v>0</v>
      </c>
      <c r="E189" s="46">
        <f>E190</f>
        <v>0</v>
      </c>
      <c r="F189" s="46">
        <f t="shared" ref="F189" si="65">F190</f>
        <v>0</v>
      </c>
      <c r="G189" s="685" t="e">
        <f t="shared" si="45"/>
        <v>#DIV/0!</v>
      </c>
      <c r="H189" s="685" t="e">
        <f t="shared" si="54"/>
        <v>#DIV/0!</v>
      </c>
      <c r="I189" s="840"/>
    </row>
    <row r="190" spans="1:9" s="768" customFormat="1" hidden="1" x14ac:dyDescent="0.25">
      <c r="A190" s="432">
        <v>4262</v>
      </c>
      <c r="B190" s="184" t="s">
        <v>195</v>
      </c>
      <c r="C190" s="429"/>
      <c r="D190" s="429"/>
      <c r="E190" s="429"/>
      <c r="F190" s="429"/>
      <c r="G190" s="685" t="e">
        <f t="shared" si="45"/>
        <v>#DIV/0!</v>
      </c>
      <c r="H190" s="685" t="e">
        <f t="shared" si="54"/>
        <v>#DIV/0!</v>
      </c>
      <c r="I190" s="839"/>
    </row>
    <row r="191" spans="1:9" s="770" customFormat="1" x14ac:dyDescent="0.25">
      <c r="A191" s="419" t="s">
        <v>196</v>
      </c>
      <c r="B191" s="448" t="s">
        <v>197</v>
      </c>
      <c r="C191" s="421">
        <f>C192+C195</f>
        <v>0</v>
      </c>
      <c r="D191" s="421">
        <f>D192+D195</f>
        <v>23183.82</v>
      </c>
      <c r="E191" s="421">
        <f>E192+E195</f>
        <v>23183.82</v>
      </c>
      <c r="F191" s="421">
        <f t="shared" ref="F191" si="66">F192+F195</f>
        <v>31001.25</v>
      </c>
      <c r="G191" s="684">
        <f t="shared" si="45"/>
        <v>133.71933529504631</v>
      </c>
      <c r="H191" s="684">
        <f t="shared" si="54"/>
        <v>133.71933529504631</v>
      </c>
      <c r="I191" s="841"/>
    </row>
    <row r="192" spans="1:9" s="764" customFormat="1" x14ac:dyDescent="0.25">
      <c r="A192" s="422" t="s">
        <v>198</v>
      </c>
      <c r="B192" s="423" t="s">
        <v>199</v>
      </c>
      <c r="C192" s="424">
        <f>C193</f>
        <v>0</v>
      </c>
      <c r="D192" s="424">
        <f>D193</f>
        <v>23183.82</v>
      </c>
      <c r="E192" s="424">
        <f>E193</f>
        <v>23183.82</v>
      </c>
      <c r="F192" s="424">
        <f t="shared" ref="F192" si="67">F193</f>
        <v>31001.25</v>
      </c>
      <c r="G192" s="685">
        <f t="shared" si="45"/>
        <v>133.71933529504631</v>
      </c>
      <c r="H192" s="685">
        <f t="shared" si="54"/>
        <v>133.71933529504631</v>
      </c>
      <c r="I192" s="837"/>
    </row>
    <row r="193" spans="1:9" s="764" customFormat="1" x14ac:dyDescent="0.25">
      <c r="A193" s="463" t="s">
        <v>200</v>
      </c>
      <c r="B193" s="466" t="s">
        <v>199</v>
      </c>
      <c r="C193" s="424">
        <f>SUM(C194)</f>
        <v>0</v>
      </c>
      <c r="D193" s="424">
        <f>SUM(D194)</f>
        <v>23183.82</v>
      </c>
      <c r="E193" s="424">
        <f>SUM(E194)</f>
        <v>23183.82</v>
      </c>
      <c r="F193" s="424">
        <f t="shared" ref="F193" si="68">SUM(F194)</f>
        <v>31001.25</v>
      </c>
      <c r="G193" s="685">
        <f t="shared" si="45"/>
        <v>133.71933529504631</v>
      </c>
      <c r="H193" s="685">
        <f t="shared" si="54"/>
        <v>133.71933529504631</v>
      </c>
      <c r="I193" s="837"/>
    </row>
    <row r="194" spans="1:9" s="766" customFormat="1" x14ac:dyDescent="0.25">
      <c r="A194" s="425" t="s">
        <v>496</v>
      </c>
      <c r="B194" s="426" t="s">
        <v>199</v>
      </c>
      <c r="C194" s="523">
        <v>0</v>
      </c>
      <c r="D194" s="523">
        <v>23183.82</v>
      </c>
      <c r="E194" s="523">
        <v>23183.82</v>
      </c>
      <c r="F194" s="523">
        <f>31001.25-F473</f>
        <v>31001.25</v>
      </c>
      <c r="G194" s="685">
        <f t="shared" si="45"/>
        <v>133.71933529504631</v>
      </c>
      <c r="H194" s="685">
        <f t="shared" si="54"/>
        <v>133.71933529504631</v>
      </c>
      <c r="I194" s="838"/>
    </row>
    <row r="195" spans="1:9" s="771" customFormat="1" hidden="1" x14ac:dyDescent="0.25">
      <c r="A195" s="422" t="s">
        <v>201</v>
      </c>
      <c r="B195" s="423" t="s">
        <v>202</v>
      </c>
      <c r="C195" s="524">
        <f>C196</f>
        <v>0</v>
      </c>
      <c r="D195" s="524">
        <f>D196</f>
        <v>0</v>
      </c>
      <c r="E195" s="524">
        <f>E196</f>
        <v>0</v>
      </c>
      <c r="F195" s="524">
        <f t="shared" ref="F195" si="69">F196</f>
        <v>0</v>
      </c>
      <c r="G195" s="685" t="e">
        <f t="shared" si="45"/>
        <v>#DIV/0!</v>
      </c>
      <c r="H195" s="685" t="e">
        <f t="shared" si="54"/>
        <v>#DIV/0!</v>
      </c>
      <c r="I195" s="842"/>
    </row>
    <row r="196" spans="1:9" s="772" customFormat="1" hidden="1" x14ac:dyDescent="0.25">
      <c r="A196" s="425" t="s">
        <v>203</v>
      </c>
      <c r="B196" s="426" t="s">
        <v>202</v>
      </c>
      <c r="C196" s="523"/>
      <c r="D196" s="523"/>
      <c r="E196" s="523"/>
      <c r="F196" s="523"/>
      <c r="G196" s="685" t="e">
        <f t="shared" si="45"/>
        <v>#DIV/0!</v>
      </c>
      <c r="H196" s="685" t="e">
        <f t="shared" si="54"/>
        <v>#DIV/0!</v>
      </c>
      <c r="I196" s="843"/>
    </row>
    <row r="197" spans="1:9" s="773" customFormat="1" x14ac:dyDescent="0.25">
      <c r="A197" s="454" t="s">
        <v>65</v>
      </c>
      <c r="B197" s="455" t="s">
        <v>210</v>
      </c>
      <c r="C197" s="688">
        <f>C198+C279</f>
        <v>73952.845000000001</v>
      </c>
      <c r="D197" s="688">
        <f>D198+D279</f>
        <v>163116.33000000002</v>
      </c>
      <c r="E197" s="688">
        <f>E198+E279</f>
        <v>163116.33000000002</v>
      </c>
      <c r="F197" s="688">
        <f>F198+F279</f>
        <v>70071.205000000016</v>
      </c>
      <c r="G197" s="689">
        <f t="shared" si="45"/>
        <v>42.957811152323011</v>
      </c>
      <c r="H197" s="689">
        <f t="shared" si="54"/>
        <v>42.957811152323011</v>
      </c>
      <c r="I197" s="844">
        <v>70071.210000000006</v>
      </c>
    </row>
    <row r="198" spans="1:9" s="773" customFormat="1" x14ac:dyDescent="0.25">
      <c r="A198" s="457" t="s">
        <v>86</v>
      </c>
      <c r="B198" s="446" t="s">
        <v>87</v>
      </c>
      <c r="C198" s="447">
        <f>C199+C213+C262+C268+C271</f>
        <v>73952.845000000001</v>
      </c>
      <c r="D198" s="447">
        <f>D199+D213+D262+D268+D271</f>
        <v>163116.33000000002</v>
      </c>
      <c r="E198" s="447">
        <f>E199+E213+E262+E268+E271</f>
        <v>163116.33000000002</v>
      </c>
      <c r="F198" s="447">
        <f>F199+F213+F262+F268+F271</f>
        <v>70071.205000000016</v>
      </c>
      <c r="G198" s="687">
        <f t="shared" si="45"/>
        <v>42.957811152323011</v>
      </c>
      <c r="H198" s="687">
        <f t="shared" si="54"/>
        <v>42.957811152323011</v>
      </c>
      <c r="I198" s="844"/>
    </row>
    <row r="199" spans="1:9" s="773" customFormat="1" x14ac:dyDescent="0.25">
      <c r="A199" s="419">
        <v>31</v>
      </c>
      <c r="B199" s="420" t="s">
        <v>88</v>
      </c>
      <c r="C199" s="421">
        <f>C200+C207+C210</f>
        <v>32771.040000000001</v>
      </c>
      <c r="D199" s="421">
        <f>D200+D207+D210</f>
        <v>67928.2</v>
      </c>
      <c r="E199" s="421">
        <f>E200+E207+E210</f>
        <v>67928.2</v>
      </c>
      <c r="F199" s="421">
        <f>F200+F207+F210</f>
        <v>32542.260000000002</v>
      </c>
      <c r="G199" s="684">
        <f t="shared" si="45"/>
        <v>47.906848702011835</v>
      </c>
      <c r="H199" s="684">
        <f t="shared" si="54"/>
        <v>47.906848702011835</v>
      </c>
      <c r="I199" s="844"/>
    </row>
    <row r="200" spans="1:9" s="773" customFormat="1" x14ac:dyDescent="0.25">
      <c r="A200" s="422">
        <v>311</v>
      </c>
      <c r="B200" s="423" t="s">
        <v>89</v>
      </c>
      <c r="C200" s="424">
        <f>C201+C203+C204+C205</f>
        <v>28785.37</v>
      </c>
      <c r="D200" s="424">
        <f>D201+D203+D204+D205</f>
        <v>56139.76</v>
      </c>
      <c r="E200" s="424">
        <f>E201+E203+E204+E205</f>
        <v>56139.76</v>
      </c>
      <c r="F200" s="424">
        <f t="shared" ref="F200" si="70">F201+F203+F204+F205</f>
        <v>28629.88</v>
      </c>
      <c r="G200" s="685">
        <f t="shared" si="45"/>
        <v>50.997510498798007</v>
      </c>
      <c r="H200" s="685">
        <f t="shared" si="54"/>
        <v>50.997510498798007</v>
      </c>
      <c r="I200" s="844"/>
    </row>
    <row r="201" spans="1:9" s="773" customFormat="1" x14ac:dyDescent="0.25">
      <c r="A201" s="463">
        <v>3111</v>
      </c>
      <c r="B201" s="466" t="s">
        <v>90</v>
      </c>
      <c r="C201" s="424">
        <f>SUM(C202)</f>
        <v>28785.37</v>
      </c>
      <c r="D201" s="424">
        <f>SUM(D202)</f>
        <v>56139.76</v>
      </c>
      <c r="E201" s="424">
        <f>SUM(E202)</f>
        <v>56139.76</v>
      </c>
      <c r="F201" s="424">
        <f t="shared" ref="F201" si="71">SUM(F202)</f>
        <v>28629.88</v>
      </c>
      <c r="G201" s="685">
        <f t="shared" si="45"/>
        <v>50.997510498798007</v>
      </c>
      <c r="H201" s="685">
        <f t="shared" si="54"/>
        <v>50.997510498798007</v>
      </c>
      <c r="I201" s="844"/>
    </row>
    <row r="202" spans="1:9" s="458" customFormat="1" x14ac:dyDescent="0.25">
      <c r="A202" s="425" t="s">
        <v>466</v>
      </c>
      <c r="B202" s="426" t="s">
        <v>90</v>
      </c>
      <c r="C202" s="523">
        <v>28785.37</v>
      </c>
      <c r="D202" s="523">
        <v>56139.76</v>
      </c>
      <c r="E202" s="523">
        <v>56139.76</v>
      </c>
      <c r="F202" s="523">
        <v>28629.88</v>
      </c>
      <c r="G202" s="685">
        <f t="shared" si="45"/>
        <v>50.997510498798007</v>
      </c>
      <c r="H202" s="685">
        <f t="shared" si="54"/>
        <v>50.997510498798007</v>
      </c>
      <c r="I202" s="845">
        <f>E202/2</f>
        <v>28069.88</v>
      </c>
    </row>
    <row r="203" spans="1:9" s="458" customFormat="1" hidden="1" x14ac:dyDescent="0.25">
      <c r="A203" s="463" t="s">
        <v>91</v>
      </c>
      <c r="B203" s="466" t="s">
        <v>92</v>
      </c>
      <c r="C203" s="524"/>
      <c r="D203" s="524"/>
      <c r="E203" s="524"/>
      <c r="F203" s="524"/>
      <c r="G203" s="685" t="e">
        <f t="shared" si="45"/>
        <v>#DIV/0!</v>
      </c>
      <c r="H203" s="685" t="e">
        <f t="shared" si="54"/>
        <v>#DIV/0!</v>
      </c>
      <c r="I203" s="845"/>
    </row>
    <row r="204" spans="1:9" s="458" customFormat="1" hidden="1" x14ac:dyDescent="0.25">
      <c r="A204" s="463" t="s">
        <v>93</v>
      </c>
      <c r="B204" s="466" t="s">
        <v>94</v>
      </c>
      <c r="C204" s="524"/>
      <c r="D204" s="524"/>
      <c r="E204" s="524"/>
      <c r="F204" s="524"/>
      <c r="G204" s="685" t="e">
        <f t="shared" si="45"/>
        <v>#DIV/0!</v>
      </c>
      <c r="H204" s="685" t="e">
        <f t="shared" si="54"/>
        <v>#DIV/0!</v>
      </c>
      <c r="I204" s="845"/>
    </row>
    <row r="205" spans="1:9" s="458" customFormat="1" hidden="1" x14ac:dyDescent="0.25">
      <c r="A205" s="463" t="s">
        <v>95</v>
      </c>
      <c r="B205" s="466" t="s">
        <v>211</v>
      </c>
      <c r="C205" s="524">
        <f>SUM(C206)</f>
        <v>0</v>
      </c>
      <c r="D205" s="524">
        <f>SUM(D206)</f>
        <v>0</v>
      </c>
      <c r="E205" s="524">
        <f>SUM(E206)</f>
        <v>0</v>
      </c>
      <c r="F205" s="524">
        <f t="shared" ref="F205" si="72">SUM(F206)</f>
        <v>0</v>
      </c>
      <c r="G205" s="685" t="e">
        <f t="shared" si="45"/>
        <v>#DIV/0!</v>
      </c>
      <c r="H205" s="685" t="e">
        <f t="shared" si="54"/>
        <v>#DIV/0!</v>
      </c>
      <c r="I205" s="845"/>
    </row>
    <row r="206" spans="1:9" s="458" customFormat="1" hidden="1" x14ac:dyDescent="0.25">
      <c r="A206" s="425" t="s">
        <v>469</v>
      </c>
      <c r="B206" s="426" t="s">
        <v>211</v>
      </c>
      <c r="C206" s="523"/>
      <c r="D206" s="523">
        <v>0</v>
      </c>
      <c r="E206" s="523"/>
      <c r="F206" s="523">
        <v>0</v>
      </c>
      <c r="G206" s="685" t="e">
        <f t="shared" ref="G206:G272" si="73">F206/D206*100</f>
        <v>#DIV/0!</v>
      </c>
      <c r="H206" s="685" t="e">
        <f t="shared" si="54"/>
        <v>#DIV/0!</v>
      </c>
      <c r="I206" s="845"/>
    </row>
    <row r="207" spans="1:9" s="773" customFormat="1" x14ac:dyDescent="0.25">
      <c r="A207" s="422" t="s">
        <v>97</v>
      </c>
      <c r="B207" s="423" t="s">
        <v>98</v>
      </c>
      <c r="C207" s="424">
        <f t="shared" ref="C207:E208" si="74">C208</f>
        <v>0</v>
      </c>
      <c r="D207" s="424">
        <f t="shared" si="74"/>
        <v>3981.68</v>
      </c>
      <c r="E207" s="424">
        <f t="shared" si="74"/>
        <v>3981.68</v>
      </c>
      <c r="F207" s="424">
        <f t="shared" ref="F207:F208" si="75">F208</f>
        <v>0</v>
      </c>
      <c r="G207" s="685">
        <f t="shared" si="73"/>
        <v>0</v>
      </c>
      <c r="H207" s="685">
        <f t="shared" si="54"/>
        <v>0</v>
      </c>
      <c r="I207" s="844"/>
    </row>
    <row r="208" spans="1:9" s="773" customFormat="1" x14ac:dyDescent="0.25">
      <c r="A208" s="463" t="s">
        <v>99</v>
      </c>
      <c r="B208" s="466" t="s">
        <v>98</v>
      </c>
      <c r="C208" s="424">
        <f t="shared" si="74"/>
        <v>0</v>
      </c>
      <c r="D208" s="424">
        <f t="shared" si="74"/>
        <v>3981.68</v>
      </c>
      <c r="E208" s="424">
        <f t="shared" si="74"/>
        <v>3981.68</v>
      </c>
      <c r="F208" s="424">
        <f t="shared" si="75"/>
        <v>0</v>
      </c>
      <c r="G208" s="685">
        <f t="shared" si="73"/>
        <v>0</v>
      </c>
      <c r="H208" s="685">
        <f t="shared" si="54"/>
        <v>0</v>
      </c>
      <c r="I208" s="844"/>
    </row>
    <row r="209" spans="1:9" s="458" customFormat="1" x14ac:dyDescent="0.25">
      <c r="A209" s="468" t="s">
        <v>475</v>
      </c>
      <c r="B209" s="476" t="s">
        <v>382</v>
      </c>
      <c r="C209" s="523">
        <v>0</v>
      </c>
      <c r="D209" s="523">
        <v>3981.68</v>
      </c>
      <c r="E209" s="523">
        <v>3981.68</v>
      </c>
      <c r="F209" s="523">
        <v>0</v>
      </c>
      <c r="G209" s="685">
        <f t="shared" si="73"/>
        <v>0</v>
      </c>
      <c r="H209" s="685">
        <f t="shared" si="54"/>
        <v>0</v>
      </c>
      <c r="I209" s="845"/>
    </row>
    <row r="210" spans="1:9" s="773" customFormat="1" x14ac:dyDescent="0.25">
      <c r="A210" s="427">
        <v>313</v>
      </c>
      <c r="B210" s="423" t="s">
        <v>100</v>
      </c>
      <c r="C210" s="424">
        <f>C211</f>
        <v>3985.67</v>
      </c>
      <c r="D210" s="424">
        <f>D211</f>
        <v>7806.76</v>
      </c>
      <c r="E210" s="424">
        <f>E211</f>
        <v>7806.76</v>
      </c>
      <c r="F210" s="424">
        <f t="shared" ref="F210" si="76">F211</f>
        <v>3912.38</v>
      </c>
      <c r="G210" s="685">
        <f t="shared" si="73"/>
        <v>50.115284701976236</v>
      </c>
      <c r="H210" s="685">
        <f t="shared" si="54"/>
        <v>50.115284701976236</v>
      </c>
      <c r="I210" s="844"/>
    </row>
    <row r="211" spans="1:9" s="773" customFormat="1" x14ac:dyDescent="0.25">
      <c r="A211" s="521">
        <v>3132</v>
      </c>
      <c r="B211" s="466" t="s">
        <v>101</v>
      </c>
      <c r="C211" s="424">
        <f>SUM(C212)</f>
        <v>3985.67</v>
      </c>
      <c r="D211" s="424">
        <f>SUM(D212)</f>
        <v>7806.76</v>
      </c>
      <c r="E211" s="424">
        <f>SUM(E212)</f>
        <v>7806.76</v>
      </c>
      <c r="F211" s="424">
        <f>SUM(F212)</f>
        <v>3912.38</v>
      </c>
      <c r="G211" s="685">
        <f t="shared" si="73"/>
        <v>50.115284701976236</v>
      </c>
      <c r="H211" s="685">
        <f t="shared" si="54"/>
        <v>50.115284701976236</v>
      </c>
      <c r="I211" s="844"/>
    </row>
    <row r="212" spans="1:9" s="458" customFormat="1" x14ac:dyDescent="0.25">
      <c r="A212" s="428" t="s">
        <v>476</v>
      </c>
      <c r="B212" s="426" t="s">
        <v>101</v>
      </c>
      <c r="C212" s="523">
        <v>3985.67</v>
      </c>
      <c r="D212" s="523">
        <v>7806.76</v>
      </c>
      <c r="E212" s="523">
        <v>7806.76</v>
      </c>
      <c r="F212" s="523">
        <v>3912.38</v>
      </c>
      <c r="G212" s="685">
        <f t="shared" si="73"/>
        <v>50.115284701976236</v>
      </c>
      <c r="H212" s="685">
        <f t="shared" si="54"/>
        <v>50.115284701976236</v>
      </c>
      <c r="I212" s="845">
        <f>E212/2</f>
        <v>3903.38</v>
      </c>
    </row>
    <row r="213" spans="1:9" s="773" customFormat="1" x14ac:dyDescent="0.25">
      <c r="A213" s="419">
        <v>32</v>
      </c>
      <c r="B213" s="420" t="s">
        <v>102</v>
      </c>
      <c r="C213" s="421">
        <f>C214+C222+C234+C254</f>
        <v>41181.805000000008</v>
      </c>
      <c r="D213" s="421">
        <f>D214+D222+D234+D254</f>
        <v>95188.13</v>
      </c>
      <c r="E213" s="421">
        <f>E214+E222+E234+E250+E254</f>
        <v>95188.130000000019</v>
      </c>
      <c r="F213" s="421">
        <f>F214+F222+F234+F250+F254</f>
        <v>37528.945000000007</v>
      </c>
      <c r="G213" s="684">
        <f t="shared" si="73"/>
        <v>39.42607654967064</v>
      </c>
      <c r="H213" s="684">
        <f t="shared" si="54"/>
        <v>39.426076549670633</v>
      </c>
      <c r="I213" s="844"/>
    </row>
    <row r="214" spans="1:9" s="773" customFormat="1" x14ac:dyDescent="0.25">
      <c r="A214" s="422" t="s">
        <v>215</v>
      </c>
      <c r="B214" s="443" t="s">
        <v>103</v>
      </c>
      <c r="C214" s="424">
        <f>C215+C217+C219+C221</f>
        <v>7299.7500000000009</v>
      </c>
      <c r="D214" s="424">
        <f>D215+D217+D219+D221</f>
        <v>14599.500000000002</v>
      </c>
      <c r="E214" s="424">
        <f>E215+E217+E219+E221</f>
        <v>14599.500000000002</v>
      </c>
      <c r="F214" s="424">
        <f>F215+F217+F219+F221</f>
        <v>7299.6800000000012</v>
      </c>
      <c r="G214" s="685">
        <f t="shared" si="73"/>
        <v>49.999520531525057</v>
      </c>
      <c r="H214" s="685">
        <f t="shared" si="54"/>
        <v>49.999520531525057</v>
      </c>
      <c r="I214" s="844"/>
    </row>
    <row r="215" spans="1:9" s="773" customFormat="1" x14ac:dyDescent="0.25">
      <c r="A215" s="463" t="s">
        <v>104</v>
      </c>
      <c r="B215" s="530" t="s">
        <v>105</v>
      </c>
      <c r="C215" s="424">
        <f>SUM(C216)</f>
        <v>331.80500000000001</v>
      </c>
      <c r="D215" s="424">
        <f>SUM(D216)</f>
        <v>663.61</v>
      </c>
      <c r="E215" s="424">
        <f>SUM(E216)</f>
        <v>663.61</v>
      </c>
      <c r="F215" s="424">
        <f t="shared" ref="F215" si="77">SUM(F216)</f>
        <v>331.81</v>
      </c>
      <c r="G215" s="685">
        <f t="shared" si="73"/>
        <v>50.000753454589287</v>
      </c>
      <c r="H215" s="685">
        <f t="shared" si="54"/>
        <v>50.000753454589287</v>
      </c>
      <c r="I215" s="844"/>
    </row>
    <row r="216" spans="1:9" s="458" customFormat="1" x14ac:dyDescent="0.25">
      <c r="A216" s="425" t="s">
        <v>497</v>
      </c>
      <c r="B216" s="444" t="s">
        <v>391</v>
      </c>
      <c r="C216" s="523">
        <v>331.80500000000001</v>
      </c>
      <c r="D216" s="523">
        <v>663.61</v>
      </c>
      <c r="E216" s="523">
        <v>663.61</v>
      </c>
      <c r="F216" s="523">
        <v>331.81</v>
      </c>
      <c r="G216" s="685">
        <f t="shared" si="73"/>
        <v>50.000753454589287</v>
      </c>
      <c r="H216" s="685">
        <f t="shared" si="54"/>
        <v>50.000753454589287</v>
      </c>
      <c r="I216" s="845">
        <f>E216/2</f>
        <v>331.80500000000001</v>
      </c>
    </row>
    <row r="217" spans="1:9" s="458" customFormat="1" x14ac:dyDescent="0.25">
      <c r="A217" s="463" t="s">
        <v>106</v>
      </c>
      <c r="B217" s="530" t="s">
        <v>107</v>
      </c>
      <c r="C217" s="524">
        <f>SUM(C218)</f>
        <v>6636.14</v>
      </c>
      <c r="D217" s="524">
        <f>SUM(D218)</f>
        <v>13272.28</v>
      </c>
      <c r="E217" s="524">
        <f>SUM(E218)</f>
        <v>13272.28</v>
      </c>
      <c r="F217" s="524">
        <f t="shared" ref="F217" si="78">SUM(F218)</f>
        <v>6636.06</v>
      </c>
      <c r="G217" s="685">
        <f t="shared" si="73"/>
        <v>49.999397239961787</v>
      </c>
      <c r="H217" s="685">
        <f t="shared" si="54"/>
        <v>49.999397239961787</v>
      </c>
      <c r="I217" s="845"/>
    </row>
    <row r="218" spans="1:9" s="458" customFormat="1" x14ac:dyDescent="0.25">
      <c r="A218" s="425" t="s">
        <v>477</v>
      </c>
      <c r="B218" s="444" t="s">
        <v>283</v>
      </c>
      <c r="C218" s="523">
        <v>6636.14</v>
      </c>
      <c r="D218" s="523">
        <v>13272.28</v>
      </c>
      <c r="E218" s="523">
        <v>13272.28</v>
      </c>
      <c r="F218" s="523">
        <v>6636.06</v>
      </c>
      <c r="G218" s="685">
        <f t="shared" si="73"/>
        <v>49.999397239961787</v>
      </c>
      <c r="H218" s="685">
        <f t="shared" si="54"/>
        <v>49.999397239961787</v>
      </c>
      <c r="I218" s="845">
        <f>E218/2</f>
        <v>6636.14</v>
      </c>
    </row>
    <row r="219" spans="1:9" s="458" customFormat="1" x14ac:dyDescent="0.25">
      <c r="A219" s="463" t="s">
        <v>108</v>
      </c>
      <c r="B219" s="530" t="s">
        <v>109</v>
      </c>
      <c r="C219" s="524">
        <f>SUM(C220)</f>
        <v>331.80500000000001</v>
      </c>
      <c r="D219" s="524">
        <f>SUM(D220)</f>
        <v>663.61</v>
      </c>
      <c r="E219" s="524">
        <f>SUM(E220)</f>
        <v>663.61</v>
      </c>
      <c r="F219" s="524">
        <f t="shared" ref="F219" si="79">SUM(F220)</f>
        <v>331.81</v>
      </c>
      <c r="G219" s="685">
        <f t="shared" si="73"/>
        <v>50.000753454589287</v>
      </c>
      <c r="H219" s="685">
        <f t="shared" si="54"/>
        <v>50.000753454589287</v>
      </c>
      <c r="I219" s="845"/>
    </row>
    <row r="220" spans="1:9" s="458" customFormat="1" x14ac:dyDescent="0.25">
      <c r="A220" s="425" t="s">
        <v>498</v>
      </c>
      <c r="B220" s="444" t="s">
        <v>393</v>
      </c>
      <c r="C220" s="523">
        <v>331.80500000000001</v>
      </c>
      <c r="D220" s="523">
        <v>663.61</v>
      </c>
      <c r="E220" s="523">
        <v>663.61</v>
      </c>
      <c r="F220" s="523">
        <v>331.81</v>
      </c>
      <c r="G220" s="685">
        <f t="shared" si="73"/>
        <v>50.000753454589287</v>
      </c>
      <c r="H220" s="685">
        <f t="shared" si="54"/>
        <v>50.000753454589287</v>
      </c>
      <c r="I220" s="845">
        <f>E220/2</f>
        <v>331.80500000000001</v>
      </c>
    </row>
    <row r="221" spans="1:9" s="458" customFormat="1" hidden="1" x14ac:dyDescent="0.25">
      <c r="A221" s="463" t="s">
        <v>110</v>
      </c>
      <c r="B221" s="530" t="s">
        <v>111</v>
      </c>
      <c r="C221" s="524"/>
      <c r="D221" s="524"/>
      <c r="E221" s="524"/>
      <c r="F221" s="524"/>
      <c r="G221" s="685" t="e">
        <f t="shared" si="73"/>
        <v>#DIV/0!</v>
      </c>
      <c r="H221" s="685" t="e">
        <f t="shared" si="54"/>
        <v>#DIV/0!</v>
      </c>
      <c r="I221" s="845"/>
    </row>
    <row r="222" spans="1:9" s="774" customFormat="1" x14ac:dyDescent="0.25">
      <c r="A222" s="422" t="s">
        <v>112</v>
      </c>
      <c r="B222" s="423" t="s">
        <v>113</v>
      </c>
      <c r="C222" s="424">
        <f>C223+C225+C228+C231+C232+C233</f>
        <v>27245.91</v>
      </c>
      <c r="D222" s="424">
        <f>D223+D225+D228+D231+D232+D233</f>
        <v>49398.76</v>
      </c>
      <c r="E222" s="424">
        <f>E223+E225+E228+E231+E232+E233</f>
        <v>19444.55</v>
      </c>
      <c r="F222" s="424">
        <f>F223+F225+F228+F231+F232+F233</f>
        <v>9652.2800000000007</v>
      </c>
      <c r="G222" s="685">
        <f t="shared" si="73"/>
        <v>19.539518805735206</v>
      </c>
      <c r="H222" s="685">
        <f t="shared" si="54"/>
        <v>49.640027668421233</v>
      </c>
      <c r="I222" s="846"/>
    </row>
    <row r="223" spans="1:9" s="774" customFormat="1" x14ac:dyDescent="0.25">
      <c r="A223" s="463" t="s">
        <v>114</v>
      </c>
      <c r="B223" s="466" t="s">
        <v>115</v>
      </c>
      <c r="C223" s="424">
        <f>SUM(C224)</f>
        <v>407.94</v>
      </c>
      <c r="D223" s="424">
        <f>SUM(D224)</f>
        <v>639.19000000000005</v>
      </c>
      <c r="E223" s="424">
        <f>SUM(E224)</f>
        <v>639.19000000000005</v>
      </c>
      <c r="F223" s="424">
        <f t="shared" ref="F223" si="80">SUM(F224)</f>
        <v>319.60000000000002</v>
      </c>
      <c r="G223" s="685">
        <f t="shared" si="73"/>
        <v>50.000782240022524</v>
      </c>
      <c r="H223" s="685">
        <f t="shared" si="54"/>
        <v>50.000782240022524</v>
      </c>
      <c r="I223" s="846"/>
    </row>
    <row r="224" spans="1:9" s="775" customFormat="1" x14ac:dyDescent="0.25">
      <c r="A224" s="425" t="s">
        <v>499</v>
      </c>
      <c r="B224" s="426" t="s">
        <v>395</v>
      </c>
      <c r="C224" s="523">
        <v>407.94</v>
      </c>
      <c r="D224" s="523">
        <v>639.19000000000005</v>
      </c>
      <c r="E224" s="523">
        <v>639.19000000000005</v>
      </c>
      <c r="F224" s="523">
        <v>319.60000000000002</v>
      </c>
      <c r="G224" s="685">
        <f t="shared" si="73"/>
        <v>50.000782240022524</v>
      </c>
      <c r="H224" s="685">
        <f t="shared" si="54"/>
        <v>50.000782240022524</v>
      </c>
      <c r="I224" s="847">
        <f>E224/2</f>
        <v>319.59500000000003</v>
      </c>
    </row>
    <row r="225" spans="1:9" s="775" customFormat="1" x14ac:dyDescent="0.25">
      <c r="A225" s="463" t="s">
        <v>116</v>
      </c>
      <c r="B225" s="466" t="s">
        <v>117</v>
      </c>
      <c r="C225" s="524">
        <f>SUM(C226:C227)</f>
        <v>7392.9299999999994</v>
      </c>
      <c r="D225" s="524">
        <f>SUM(D226:D227)</f>
        <v>9954.2099999999991</v>
      </c>
      <c r="E225" s="524">
        <f>SUM(E226:E227)</f>
        <v>0</v>
      </c>
      <c r="F225" s="524">
        <f t="shared" ref="F225" si="81">SUM(F226:F227)</f>
        <v>0</v>
      </c>
      <c r="G225" s="685">
        <f t="shared" si="73"/>
        <v>0</v>
      </c>
      <c r="H225" s="685" t="e">
        <f t="shared" si="54"/>
        <v>#DIV/0!</v>
      </c>
      <c r="I225" s="847"/>
    </row>
    <row r="226" spans="1:9" s="775" customFormat="1" x14ac:dyDescent="0.25">
      <c r="A226" s="425" t="s">
        <v>479</v>
      </c>
      <c r="B226" s="426" t="s">
        <v>400</v>
      </c>
      <c r="C226" s="523">
        <v>5739.15</v>
      </c>
      <c r="D226" s="523">
        <v>7000</v>
      </c>
      <c r="E226" s="523"/>
      <c r="F226" s="523">
        <v>0</v>
      </c>
      <c r="G226" s="685">
        <f t="shared" si="73"/>
        <v>0</v>
      </c>
      <c r="H226" s="685" t="e">
        <f t="shared" si="54"/>
        <v>#DIV/0!</v>
      </c>
      <c r="I226" s="847"/>
    </row>
    <row r="227" spans="1:9" x14ac:dyDescent="0.25">
      <c r="A227" s="425" t="s">
        <v>480</v>
      </c>
      <c r="B227" s="426" t="s">
        <v>401</v>
      </c>
      <c r="C227" s="523">
        <v>1653.78</v>
      </c>
      <c r="D227" s="523">
        <f>9954.21-D226</f>
        <v>2954.2099999999991</v>
      </c>
      <c r="E227" s="523"/>
      <c r="F227" s="523">
        <v>0</v>
      </c>
      <c r="G227" s="685">
        <f t="shared" si="73"/>
        <v>0</v>
      </c>
      <c r="H227" s="685" t="e">
        <f t="shared" si="54"/>
        <v>#DIV/0!</v>
      </c>
    </row>
    <row r="228" spans="1:9" x14ac:dyDescent="0.25">
      <c r="A228" s="463" t="s">
        <v>118</v>
      </c>
      <c r="B228" s="466" t="s">
        <v>119</v>
      </c>
      <c r="C228" s="524">
        <f>SUM(C229:C230)</f>
        <v>19445.04</v>
      </c>
      <c r="D228" s="524">
        <f>SUM(D229:D230)</f>
        <v>38805.360000000001</v>
      </c>
      <c r="E228" s="524">
        <f>SUM(E229:E230)</f>
        <v>18805.36</v>
      </c>
      <c r="F228" s="524">
        <f t="shared" ref="F228" si="82">SUM(F229:F230)</f>
        <v>9332.68</v>
      </c>
      <c r="G228" s="685">
        <f t="shared" si="73"/>
        <v>24.04997660117056</v>
      </c>
      <c r="H228" s="685">
        <f t="shared" ref="H228:H294" si="83">F228/E228*100</f>
        <v>49.627765700842744</v>
      </c>
    </row>
    <row r="229" spans="1:9" x14ac:dyDescent="0.25">
      <c r="A229" s="425" t="s">
        <v>484</v>
      </c>
      <c r="B229" s="426" t="s">
        <v>406</v>
      </c>
      <c r="C229" s="523">
        <v>6792.36</v>
      </c>
      <c r="D229" s="523">
        <v>13500</v>
      </c>
      <c r="E229" s="523">
        <v>13500</v>
      </c>
      <c r="F229" s="523">
        <v>6750</v>
      </c>
      <c r="G229" s="685">
        <f t="shared" si="73"/>
        <v>50</v>
      </c>
      <c r="H229" s="685">
        <f t="shared" si="83"/>
        <v>50</v>
      </c>
      <c r="I229" s="831">
        <f>E229/2</f>
        <v>6750</v>
      </c>
    </row>
    <row r="230" spans="1:9" x14ac:dyDescent="0.25">
      <c r="A230" s="425" t="s">
        <v>485</v>
      </c>
      <c r="B230" s="426" t="s">
        <v>403</v>
      </c>
      <c r="C230" s="523">
        <v>12652.68</v>
      </c>
      <c r="D230" s="523">
        <f>38805.36-D229</f>
        <v>25305.360000000001</v>
      </c>
      <c r="E230" s="523">
        <v>5305.36</v>
      </c>
      <c r="F230" s="523">
        <v>2582.6799999999998</v>
      </c>
      <c r="G230" s="685">
        <f t="shared" si="73"/>
        <v>10.206059111587425</v>
      </c>
      <c r="H230" s="685">
        <f t="shared" si="83"/>
        <v>48.680579640212919</v>
      </c>
      <c r="I230" s="831">
        <f>E230/2</f>
        <v>2652.68</v>
      </c>
    </row>
    <row r="231" spans="1:9" hidden="1" x14ac:dyDescent="0.25">
      <c r="A231" s="463" t="s">
        <v>120</v>
      </c>
      <c r="B231" s="466" t="s">
        <v>321</v>
      </c>
      <c r="C231" s="524"/>
      <c r="D231" s="524"/>
      <c r="E231" s="524"/>
      <c r="F231" s="524"/>
      <c r="G231" s="685" t="e">
        <f t="shared" si="73"/>
        <v>#DIV/0!</v>
      </c>
      <c r="H231" s="685" t="e">
        <f t="shared" si="83"/>
        <v>#DIV/0!</v>
      </c>
    </row>
    <row r="232" spans="1:9" hidden="1" x14ac:dyDescent="0.25">
      <c r="A232" s="463" t="s">
        <v>122</v>
      </c>
      <c r="B232" s="466" t="s">
        <v>123</v>
      </c>
      <c r="C232" s="524"/>
      <c r="D232" s="524"/>
      <c r="E232" s="524"/>
      <c r="F232" s="524"/>
      <c r="G232" s="685" t="e">
        <f t="shared" si="73"/>
        <v>#DIV/0!</v>
      </c>
      <c r="H232" s="685" t="e">
        <f t="shared" si="83"/>
        <v>#DIV/0!</v>
      </c>
    </row>
    <row r="233" spans="1:9" hidden="1" x14ac:dyDescent="0.25">
      <c r="A233" s="463" t="s">
        <v>124</v>
      </c>
      <c r="B233" s="466" t="s">
        <v>322</v>
      </c>
      <c r="C233" s="524"/>
      <c r="D233" s="524"/>
      <c r="E233" s="524"/>
      <c r="F233" s="524"/>
      <c r="G233" s="685" t="e">
        <f t="shared" si="73"/>
        <v>#DIV/0!</v>
      </c>
      <c r="H233" s="685" t="e">
        <f t="shared" si="83"/>
        <v>#DIV/0!</v>
      </c>
    </row>
    <row r="234" spans="1:9" s="761" customFormat="1" x14ac:dyDescent="0.25">
      <c r="A234" s="422" t="s">
        <v>126</v>
      </c>
      <c r="B234" s="423" t="s">
        <v>127</v>
      </c>
      <c r="C234" s="424">
        <f>C235+C236+C240+C241+C242+C243+C245+C247+C248</f>
        <v>5308.915</v>
      </c>
      <c r="D234" s="424">
        <f>D235+D236+D240+D241+D242+D243+D245+D247+D248</f>
        <v>28535.41</v>
      </c>
      <c r="E234" s="424">
        <f>E235+E236+E240+E241+E242+E243+E245+E247+E248</f>
        <v>28535.41</v>
      </c>
      <c r="F234" s="424">
        <f>F235+F236+F240+F241+F242+F243+F245+F247+F248</f>
        <v>4649.88</v>
      </c>
      <c r="G234" s="685">
        <f t="shared" si="73"/>
        <v>16.295122446111691</v>
      </c>
      <c r="H234" s="685">
        <f t="shared" si="83"/>
        <v>16.295122446111691</v>
      </c>
      <c r="I234" s="830"/>
    </row>
    <row r="235" spans="1:9" hidden="1" x14ac:dyDescent="0.25">
      <c r="A235" s="463" t="s">
        <v>128</v>
      </c>
      <c r="B235" s="466" t="s">
        <v>129</v>
      </c>
      <c r="C235" s="524"/>
      <c r="D235" s="524"/>
      <c r="E235" s="524"/>
      <c r="F235" s="524"/>
      <c r="G235" s="685" t="e">
        <f t="shared" si="73"/>
        <v>#DIV/0!</v>
      </c>
      <c r="H235" s="685" t="e">
        <f t="shared" si="83"/>
        <v>#DIV/0!</v>
      </c>
    </row>
    <row r="236" spans="1:9" x14ac:dyDescent="0.25">
      <c r="A236" s="463" t="s">
        <v>130</v>
      </c>
      <c r="B236" s="466" t="s">
        <v>131</v>
      </c>
      <c r="C236" s="524">
        <f>SUM(C237:C239)</f>
        <v>0</v>
      </c>
      <c r="D236" s="524">
        <f>SUM(D237:D239)</f>
        <v>17917.580000000002</v>
      </c>
      <c r="E236" s="524">
        <f>SUM(E237:E239)</f>
        <v>17917.580000000002</v>
      </c>
      <c r="F236" s="524">
        <f t="shared" ref="F236" si="84">SUM(F237:F239)</f>
        <v>0</v>
      </c>
      <c r="G236" s="685">
        <f t="shared" si="73"/>
        <v>0</v>
      </c>
      <c r="H236" s="685">
        <f t="shared" si="83"/>
        <v>0</v>
      </c>
    </row>
    <row r="237" spans="1:9" x14ac:dyDescent="0.25">
      <c r="A237" s="468">
        <v>32321</v>
      </c>
      <c r="B237" s="476" t="s">
        <v>414</v>
      </c>
      <c r="C237" s="523">
        <v>0</v>
      </c>
      <c r="D237" s="523">
        <v>11000</v>
      </c>
      <c r="E237" s="523">
        <v>11000</v>
      </c>
      <c r="F237" s="523"/>
      <c r="G237" s="685">
        <f t="shared" si="73"/>
        <v>0</v>
      </c>
      <c r="H237" s="685">
        <f t="shared" si="83"/>
        <v>0</v>
      </c>
    </row>
    <row r="238" spans="1:9" x14ac:dyDescent="0.25">
      <c r="A238" s="425">
        <v>32322</v>
      </c>
      <c r="B238" s="426" t="s">
        <v>415</v>
      </c>
      <c r="C238" s="523">
        <v>0</v>
      </c>
      <c r="D238" s="523">
        <v>3750</v>
      </c>
      <c r="E238" s="523">
        <v>3750</v>
      </c>
      <c r="F238" s="523">
        <v>0</v>
      </c>
      <c r="G238" s="685">
        <f t="shared" si="73"/>
        <v>0</v>
      </c>
      <c r="H238" s="685">
        <f t="shared" si="83"/>
        <v>0</v>
      </c>
    </row>
    <row r="239" spans="1:9" x14ac:dyDescent="0.25">
      <c r="A239" s="425">
        <v>32323</v>
      </c>
      <c r="B239" s="426" t="s">
        <v>413</v>
      </c>
      <c r="C239" s="523">
        <v>0</v>
      </c>
      <c r="D239" s="523">
        <f>17917.58-D237-D238</f>
        <v>3167.5800000000017</v>
      </c>
      <c r="E239" s="523">
        <v>3167.5800000000017</v>
      </c>
      <c r="F239" s="523">
        <v>0</v>
      </c>
      <c r="G239" s="685">
        <f t="shared" si="73"/>
        <v>0</v>
      </c>
      <c r="H239" s="685">
        <f t="shared" si="83"/>
        <v>0</v>
      </c>
    </row>
    <row r="240" spans="1:9" hidden="1" x14ac:dyDescent="0.25">
      <c r="A240" s="463" t="s">
        <v>132</v>
      </c>
      <c r="B240" s="466" t="s">
        <v>133</v>
      </c>
      <c r="C240" s="524"/>
      <c r="D240" s="524"/>
      <c r="E240" s="524"/>
      <c r="F240" s="524"/>
      <c r="G240" s="685" t="e">
        <f t="shared" si="73"/>
        <v>#DIV/0!</v>
      </c>
      <c r="H240" s="685" t="e">
        <f t="shared" si="83"/>
        <v>#DIV/0!</v>
      </c>
    </row>
    <row r="241" spans="1:9" hidden="1" x14ac:dyDescent="0.25">
      <c r="A241" s="463" t="s">
        <v>134</v>
      </c>
      <c r="B241" s="466" t="s">
        <v>135</v>
      </c>
      <c r="C241" s="524"/>
      <c r="D241" s="524"/>
      <c r="E241" s="524"/>
      <c r="F241" s="524"/>
      <c r="G241" s="685" t="e">
        <f t="shared" si="73"/>
        <v>#DIV/0!</v>
      </c>
      <c r="H241" s="685" t="e">
        <f t="shared" si="83"/>
        <v>#DIV/0!</v>
      </c>
    </row>
    <row r="242" spans="1:9" hidden="1" x14ac:dyDescent="0.25">
      <c r="A242" s="463" t="s">
        <v>216</v>
      </c>
      <c r="B242" s="466" t="s">
        <v>136</v>
      </c>
      <c r="C242" s="524"/>
      <c r="D242" s="524"/>
      <c r="E242" s="524"/>
      <c r="F242" s="524"/>
      <c r="G242" s="685" t="e">
        <f t="shared" si="73"/>
        <v>#DIV/0!</v>
      </c>
      <c r="H242" s="685" t="e">
        <f t="shared" si="83"/>
        <v>#DIV/0!</v>
      </c>
    </row>
    <row r="243" spans="1:9" x14ac:dyDescent="0.25">
      <c r="A243" s="463" t="s">
        <v>217</v>
      </c>
      <c r="B243" s="466" t="s">
        <v>137</v>
      </c>
      <c r="C243" s="524">
        <f>SUM(C244)</f>
        <v>1327.23</v>
      </c>
      <c r="D243" s="524">
        <f>SUM(D244)</f>
        <v>2654.46</v>
      </c>
      <c r="E243" s="524">
        <f>SUM(E244)</f>
        <v>2654.46</v>
      </c>
      <c r="F243" s="524">
        <f t="shared" ref="F243" si="85">SUM(F244)</f>
        <v>1327.23</v>
      </c>
      <c r="G243" s="685">
        <f t="shared" si="73"/>
        <v>50</v>
      </c>
      <c r="H243" s="685">
        <f t="shared" si="83"/>
        <v>50</v>
      </c>
    </row>
    <row r="244" spans="1:9" x14ac:dyDescent="0.25">
      <c r="A244" s="425" t="s">
        <v>500</v>
      </c>
      <c r="B244" s="426" t="s">
        <v>422</v>
      </c>
      <c r="C244" s="523">
        <v>1327.23</v>
      </c>
      <c r="D244" s="523">
        <v>2654.46</v>
      </c>
      <c r="E244" s="523">
        <v>2654.46</v>
      </c>
      <c r="F244" s="523">
        <v>1327.23</v>
      </c>
      <c r="G244" s="685">
        <f t="shared" si="73"/>
        <v>50</v>
      </c>
      <c r="H244" s="685">
        <f t="shared" si="83"/>
        <v>50</v>
      </c>
      <c r="I244" s="831">
        <f>E244/2</f>
        <v>1327.23</v>
      </c>
    </row>
    <row r="245" spans="1:9" x14ac:dyDescent="0.25">
      <c r="A245" s="463" t="s">
        <v>218</v>
      </c>
      <c r="B245" s="466" t="s">
        <v>138</v>
      </c>
      <c r="C245" s="524">
        <f>SUM(C246)</f>
        <v>2322.65</v>
      </c>
      <c r="D245" s="524">
        <f>SUM(D246)</f>
        <v>4645.3</v>
      </c>
      <c r="E245" s="524">
        <f>SUM(E246)</f>
        <v>4645.3</v>
      </c>
      <c r="F245" s="524">
        <f t="shared" ref="F245" si="86">SUM(F246)</f>
        <v>2322.65</v>
      </c>
      <c r="G245" s="685">
        <f t="shared" si="73"/>
        <v>50</v>
      </c>
      <c r="H245" s="685">
        <f t="shared" si="83"/>
        <v>50</v>
      </c>
    </row>
    <row r="246" spans="1:9" x14ac:dyDescent="0.25">
      <c r="A246" s="425" t="s">
        <v>501</v>
      </c>
      <c r="B246" s="426" t="s">
        <v>423</v>
      </c>
      <c r="C246" s="523">
        <v>2322.65</v>
      </c>
      <c r="D246" s="523">
        <v>4645.3</v>
      </c>
      <c r="E246" s="523">
        <v>4645.3</v>
      </c>
      <c r="F246" s="523">
        <v>2322.65</v>
      </c>
      <c r="G246" s="685">
        <f t="shared" si="73"/>
        <v>50</v>
      </c>
      <c r="H246" s="685">
        <f t="shared" si="83"/>
        <v>50</v>
      </c>
      <c r="I246" s="831">
        <f>E246/2</f>
        <v>2322.65</v>
      </c>
    </row>
    <row r="247" spans="1:9" hidden="1" x14ac:dyDescent="0.25">
      <c r="A247" s="463" t="s">
        <v>139</v>
      </c>
      <c r="B247" s="466" t="s">
        <v>140</v>
      </c>
      <c r="C247" s="524"/>
      <c r="D247" s="524"/>
      <c r="E247" s="524"/>
      <c r="F247" s="524"/>
      <c r="G247" s="685" t="e">
        <f t="shared" si="73"/>
        <v>#DIV/0!</v>
      </c>
      <c r="H247" s="685" t="e">
        <f t="shared" si="83"/>
        <v>#DIV/0!</v>
      </c>
    </row>
    <row r="248" spans="1:9" x14ac:dyDescent="0.25">
      <c r="A248" s="463" t="s">
        <v>141</v>
      </c>
      <c r="B248" s="466" t="s">
        <v>142</v>
      </c>
      <c r="C248" s="524">
        <f>SUM(C249)</f>
        <v>1659.0350000000001</v>
      </c>
      <c r="D248" s="524">
        <f>SUM(D249)</f>
        <v>3318.07</v>
      </c>
      <c r="E248" s="524">
        <f>SUM(E249)</f>
        <v>3318.07</v>
      </c>
      <c r="F248" s="524">
        <f>SUM(F249)</f>
        <v>1000</v>
      </c>
      <c r="G248" s="685">
        <f t="shared" si="73"/>
        <v>30.138001910749317</v>
      </c>
      <c r="H248" s="685">
        <f t="shared" si="83"/>
        <v>30.138001910749317</v>
      </c>
    </row>
    <row r="249" spans="1:9" x14ac:dyDescent="0.25">
      <c r="A249" s="425" t="s">
        <v>502</v>
      </c>
      <c r="B249" s="426" t="s">
        <v>305</v>
      </c>
      <c r="C249" s="523">
        <v>1659.0350000000001</v>
      </c>
      <c r="D249" s="523">
        <v>3318.07</v>
      </c>
      <c r="E249" s="523">
        <v>3318.07</v>
      </c>
      <c r="F249" s="523">
        <v>1000</v>
      </c>
      <c r="G249" s="685">
        <f t="shared" si="73"/>
        <v>30.138001910749317</v>
      </c>
      <c r="H249" s="685">
        <f t="shared" si="83"/>
        <v>30.138001910749317</v>
      </c>
      <c r="I249" s="831">
        <v>1000</v>
      </c>
    </row>
    <row r="250" spans="1:9" x14ac:dyDescent="0.25">
      <c r="A250" s="463" t="s">
        <v>619</v>
      </c>
      <c r="B250" s="466" t="s">
        <v>127</v>
      </c>
      <c r="C250" s="524">
        <f>C251</f>
        <v>0</v>
      </c>
      <c r="D250" s="524">
        <f>D251</f>
        <v>0</v>
      </c>
      <c r="E250" s="524">
        <f t="shared" ref="E250:F250" si="87">E251</f>
        <v>29954.21</v>
      </c>
      <c r="F250" s="524">
        <f t="shared" si="87"/>
        <v>14977.105</v>
      </c>
      <c r="G250" s="685" t="e">
        <f t="shared" si="73"/>
        <v>#DIV/0!</v>
      </c>
      <c r="H250" s="685">
        <f t="shared" si="83"/>
        <v>50</v>
      </c>
    </row>
    <row r="251" spans="1:9" x14ac:dyDescent="0.25">
      <c r="A251" s="463" t="s">
        <v>620</v>
      </c>
      <c r="B251" s="466" t="s">
        <v>142</v>
      </c>
      <c r="C251" s="524">
        <f>C252+C253</f>
        <v>0</v>
      </c>
      <c r="D251" s="524">
        <f>D252+D253</f>
        <v>0</v>
      </c>
      <c r="E251" s="524">
        <f t="shared" ref="E251:F251" si="88">E252+E253</f>
        <v>29954.21</v>
      </c>
      <c r="F251" s="524">
        <f t="shared" si="88"/>
        <v>14977.105</v>
      </c>
      <c r="G251" s="685" t="e">
        <f t="shared" si="73"/>
        <v>#DIV/0!</v>
      </c>
      <c r="H251" s="685">
        <f t="shared" si="83"/>
        <v>50</v>
      </c>
    </row>
    <row r="252" spans="1:9" x14ac:dyDescent="0.25">
      <c r="A252" s="425" t="s">
        <v>621</v>
      </c>
      <c r="B252" s="426" t="s">
        <v>623</v>
      </c>
      <c r="C252" s="523"/>
      <c r="D252" s="523"/>
      <c r="E252" s="523">
        <v>7954.21</v>
      </c>
      <c r="F252" s="523">
        <v>3977.105</v>
      </c>
      <c r="G252" s="685" t="e">
        <f t="shared" si="73"/>
        <v>#DIV/0!</v>
      </c>
      <c r="H252" s="685">
        <f t="shared" si="83"/>
        <v>50</v>
      </c>
      <c r="I252" s="831">
        <f>E252/2</f>
        <v>3977.105</v>
      </c>
    </row>
    <row r="253" spans="1:9" x14ac:dyDescent="0.25">
      <c r="A253" s="425" t="s">
        <v>622</v>
      </c>
      <c r="B253" s="426" t="s">
        <v>624</v>
      </c>
      <c r="C253" s="523"/>
      <c r="D253" s="523"/>
      <c r="E253" s="523">
        <v>22000</v>
      </c>
      <c r="F253" s="523">
        <v>11000</v>
      </c>
      <c r="G253" s="685" t="e">
        <f t="shared" si="73"/>
        <v>#DIV/0!</v>
      </c>
      <c r="H253" s="685">
        <f t="shared" si="83"/>
        <v>50</v>
      </c>
      <c r="I253" s="831">
        <f>E253/2</f>
        <v>11000</v>
      </c>
    </row>
    <row r="254" spans="1:9" s="761" customFormat="1" x14ac:dyDescent="0.25">
      <c r="A254" s="422" t="s">
        <v>219</v>
      </c>
      <c r="B254" s="423" t="s">
        <v>144</v>
      </c>
      <c r="C254" s="424">
        <f>C255+C257+C258+C259+C260+C261</f>
        <v>1327.23</v>
      </c>
      <c r="D254" s="424">
        <f>D255+D257+D258+D259+D260+D261</f>
        <v>2654.46</v>
      </c>
      <c r="E254" s="424">
        <f>E255+E257+E258+E259+E260+E261</f>
        <v>2654.46</v>
      </c>
      <c r="F254" s="424">
        <f>F255+F257+F258+F259+F260+F261</f>
        <v>950</v>
      </c>
      <c r="G254" s="685">
        <f t="shared" si="73"/>
        <v>35.78882333883351</v>
      </c>
      <c r="H254" s="685">
        <f t="shared" si="83"/>
        <v>35.78882333883351</v>
      </c>
      <c r="I254" s="830"/>
    </row>
    <row r="255" spans="1:9" s="761" customFormat="1" x14ac:dyDescent="0.25">
      <c r="A255" s="463" t="s">
        <v>231</v>
      </c>
      <c r="B255" s="466" t="s">
        <v>147</v>
      </c>
      <c r="C255" s="424">
        <f>SUM(C256)</f>
        <v>1327.23</v>
      </c>
      <c r="D255" s="424">
        <f>SUM(D256)</f>
        <v>2654.46</v>
      </c>
      <c r="E255" s="424">
        <f>SUM(E256)</f>
        <v>2654.46</v>
      </c>
      <c r="F255" s="424">
        <f t="shared" ref="F255" si="89">SUM(F256)</f>
        <v>950</v>
      </c>
      <c r="G255" s="685">
        <f t="shared" si="73"/>
        <v>35.78882333883351</v>
      </c>
      <c r="H255" s="685">
        <f t="shared" si="83"/>
        <v>35.78882333883351</v>
      </c>
      <c r="I255" s="830"/>
    </row>
    <row r="256" spans="1:9" x14ac:dyDescent="0.25">
      <c r="A256" s="425" t="s">
        <v>503</v>
      </c>
      <c r="B256" s="426" t="s">
        <v>504</v>
      </c>
      <c r="C256" s="523">
        <v>1327.23</v>
      </c>
      <c r="D256" s="523">
        <v>2654.46</v>
      </c>
      <c r="E256" s="523">
        <v>2654.46</v>
      </c>
      <c r="F256" s="848">
        <v>950</v>
      </c>
      <c r="G256" s="685">
        <f t="shared" si="73"/>
        <v>35.78882333883351</v>
      </c>
      <c r="H256" s="685">
        <f t="shared" si="83"/>
        <v>35.78882333883351</v>
      </c>
      <c r="I256" s="831">
        <f>E256/2</f>
        <v>1327.23</v>
      </c>
    </row>
    <row r="257" spans="1:9" hidden="1" x14ac:dyDescent="0.25">
      <c r="A257" s="463" t="s">
        <v>221</v>
      </c>
      <c r="B257" s="466" t="s">
        <v>148</v>
      </c>
      <c r="C257" s="524"/>
      <c r="D257" s="524"/>
      <c r="E257" s="524"/>
      <c r="F257" s="524"/>
      <c r="G257" s="685" t="e">
        <f t="shared" si="73"/>
        <v>#DIV/0!</v>
      </c>
      <c r="H257" s="685" t="e">
        <f t="shared" si="83"/>
        <v>#DIV/0!</v>
      </c>
    </row>
    <row r="258" spans="1:9" hidden="1" x14ac:dyDescent="0.25">
      <c r="A258" s="463" t="s">
        <v>323</v>
      </c>
      <c r="B258" s="466" t="s">
        <v>149</v>
      </c>
      <c r="C258" s="524"/>
      <c r="D258" s="524"/>
      <c r="E258" s="524"/>
      <c r="F258" s="524"/>
      <c r="G258" s="685" t="e">
        <f t="shared" si="73"/>
        <v>#DIV/0!</v>
      </c>
      <c r="H258" s="685" t="e">
        <f t="shared" si="83"/>
        <v>#DIV/0!</v>
      </c>
    </row>
    <row r="259" spans="1:9" hidden="1" x14ac:dyDescent="0.25">
      <c r="A259" s="463" t="s">
        <v>222</v>
      </c>
      <c r="B259" s="466" t="s">
        <v>150</v>
      </c>
      <c r="C259" s="524"/>
      <c r="D259" s="524"/>
      <c r="E259" s="524"/>
      <c r="F259" s="524"/>
      <c r="G259" s="685" t="e">
        <f t="shared" si="73"/>
        <v>#DIV/0!</v>
      </c>
      <c r="H259" s="685" t="e">
        <f t="shared" si="83"/>
        <v>#DIV/0!</v>
      </c>
    </row>
    <row r="260" spans="1:9" hidden="1" x14ac:dyDescent="0.25">
      <c r="A260" s="463" t="s">
        <v>324</v>
      </c>
      <c r="B260" s="466" t="s">
        <v>151</v>
      </c>
      <c r="C260" s="524"/>
      <c r="D260" s="524"/>
      <c r="E260" s="524"/>
      <c r="F260" s="524"/>
      <c r="G260" s="685" t="e">
        <f t="shared" si="73"/>
        <v>#DIV/0!</v>
      </c>
      <c r="H260" s="685" t="e">
        <f t="shared" si="83"/>
        <v>#DIV/0!</v>
      </c>
    </row>
    <row r="261" spans="1:9" hidden="1" x14ac:dyDescent="0.25">
      <c r="A261" s="463" t="s">
        <v>152</v>
      </c>
      <c r="B261" s="466" t="s">
        <v>144</v>
      </c>
      <c r="C261" s="524"/>
      <c r="D261" s="524"/>
      <c r="E261" s="524"/>
      <c r="F261" s="524"/>
      <c r="G261" s="685" t="e">
        <f t="shared" si="73"/>
        <v>#DIV/0!</v>
      </c>
      <c r="H261" s="685" t="e">
        <f t="shared" si="83"/>
        <v>#DIV/0!</v>
      </c>
    </row>
    <row r="262" spans="1:9" s="767" customFormat="1" hidden="1" x14ac:dyDescent="0.25">
      <c r="A262" s="459" t="s">
        <v>325</v>
      </c>
      <c r="B262" s="460" t="s">
        <v>153</v>
      </c>
      <c r="C262" s="421">
        <f>C263</f>
        <v>0</v>
      </c>
      <c r="D262" s="421">
        <f>D263</f>
        <v>0</v>
      </c>
      <c r="E262" s="421">
        <f>E263</f>
        <v>0</v>
      </c>
      <c r="F262" s="421">
        <f t="shared" ref="F262" si="90">F263</f>
        <v>0</v>
      </c>
      <c r="G262" s="685" t="e">
        <f t="shared" si="73"/>
        <v>#DIV/0!</v>
      </c>
      <c r="H262" s="685" t="e">
        <f t="shared" si="83"/>
        <v>#DIV/0!</v>
      </c>
      <c r="I262" s="829"/>
    </row>
    <row r="263" spans="1:9" s="761" customFormat="1" hidden="1" x14ac:dyDescent="0.25">
      <c r="A263" s="422" t="s">
        <v>326</v>
      </c>
      <c r="B263" s="423" t="s">
        <v>157</v>
      </c>
      <c r="C263" s="424">
        <f>SUM(C264:C267)</f>
        <v>0</v>
      </c>
      <c r="D263" s="424">
        <f>SUM(D264:D267)</f>
        <v>0</v>
      </c>
      <c r="E263" s="424">
        <f>SUM(E264:E267)</f>
        <v>0</v>
      </c>
      <c r="F263" s="424">
        <f t="shared" ref="F263" si="91">SUM(F264:F267)</f>
        <v>0</v>
      </c>
      <c r="G263" s="685" t="e">
        <f t="shared" si="73"/>
        <v>#DIV/0!</v>
      </c>
      <c r="H263" s="685" t="e">
        <f t="shared" si="83"/>
        <v>#DIV/0!</v>
      </c>
      <c r="I263" s="830"/>
    </row>
    <row r="264" spans="1:9" hidden="1" x14ac:dyDescent="0.25">
      <c r="A264" s="425" t="s">
        <v>155</v>
      </c>
      <c r="B264" s="426" t="s">
        <v>156</v>
      </c>
      <c r="C264" s="523"/>
      <c r="D264" s="523"/>
      <c r="E264" s="523"/>
      <c r="F264" s="523"/>
      <c r="G264" s="685" t="e">
        <f t="shared" si="73"/>
        <v>#DIV/0!</v>
      </c>
      <c r="H264" s="685" t="e">
        <f t="shared" si="83"/>
        <v>#DIV/0!</v>
      </c>
    </row>
    <row r="265" spans="1:9" hidden="1" x14ac:dyDescent="0.25">
      <c r="A265" s="425" t="s">
        <v>327</v>
      </c>
      <c r="B265" s="426" t="s">
        <v>205</v>
      </c>
      <c r="C265" s="523"/>
      <c r="D265" s="523"/>
      <c r="E265" s="523"/>
      <c r="F265" s="523"/>
      <c r="G265" s="685" t="e">
        <f t="shared" si="73"/>
        <v>#DIV/0!</v>
      </c>
      <c r="H265" s="685" t="e">
        <f t="shared" si="83"/>
        <v>#DIV/0!</v>
      </c>
    </row>
    <row r="266" spans="1:9" hidden="1" x14ac:dyDescent="0.25">
      <c r="A266" s="425" t="s">
        <v>328</v>
      </c>
      <c r="B266" s="426" t="s">
        <v>157</v>
      </c>
      <c r="C266" s="523"/>
      <c r="D266" s="523"/>
      <c r="E266" s="523"/>
      <c r="F266" s="523"/>
      <c r="G266" s="685" t="e">
        <f t="shared" si="73"/>
        <v>#DIV/0!</v>
      </c>
      <c r="H266" s="685" t="e">
        <f t="shared" si="83"/>
        <v>#DIV/0!</v>
      </c>
    </row>
    <row r="267" spans="1:9" hidden="1" x14ac:dyDescent="0.25">
      <c r="A267" s="425" t="s">
        <v>329</v>
      </c>
      <c r="B267" s="426" t="s">
        <v>154</v>
      </c>
      <c r="C267" s="523"/>
      <c r="D267" s="523"/>
      <c r="E267" s="523"/>
      <c r="F267" s="523"/>
      <c r="G267" s="685" t="e">
        <f t="shared" si="73"/>
        <v>#DIV/0!</v>
      </c>
      <c r="H267" s="685" t="e">
        <f t="shared" si="83"/>
        <v>#DIV/0!</v>
      </c>
    </row>
    <row r="268" spans="1:9" s="761" customFormat="1" hidden="1" x14ac:dyDescent="0.25">
      <c r="A268" s="459" t="s">
        <v>330</v>
      </c>
      <c r="B268" s="460" t="s">
        <v>318</v>
      </c>
      <c r="C268" s="421">
        <f t="shared" ref="C268:F269" si="92">C269</f>
        <v>0</v>
      </c>
      <c r="D268" s="421">
        <f t="shared" si="92"/>
        <v>0</v>
      </c>
      <c r="E268" s="421">
        <f t="shared" si="92"/>
        <v>0</v>
      </c>
      <c r="F268" s="421">
        <f t="shared" si="92"/>
        <v>0</v>
      </c>
      <c r="G268" s="685" t="e">
        <f t="shared" si="73"/>
        <v>#DIV/0!</v>
      </c>
      <c r="H268" s="685" t="e">
        <f t="shared" si="83"/>
        <v>#DIV/0!</v>
      </c>
      <c r="I268" s="830"/>
    </row>
    <row r="269" spans="1:9" s="761" customFormat="1" hidden="1" x14ac:dyDescent="0.25">
      <c r="A269" s="422" t="s">
        <v>331</v>
      </c>
      <c r="B269" s="423" t="s">
        <v>163</v>
      </c>
      <c r="C269" s="424">
        <f t="shared" si="92"/>
        <v>0</v>
      </c>
      <c r="D269" s="424">
        <f t="shared" si="92"/>
        <v>0</v>
      </c>
      <c r="E269" s="424">
        <f t="shared" si="92"/>
        <v>0</v>
      </c>
      <c r="F269" s="424">
        <f t="shared" si="92"/>
        <v>0</v>
      </c>
      <c r="G269" s="685" t="e">
        <f t="shared" si="73"/>
        <v>#DIV/0!</v>
      </c>
      <c r="H269" s="685" t="e">
        <f t="shared" si="83"/>
        <v>#DIV/0!</v>
      </c>
      <c r="I269" s="830"/>
    </row>
    <row r="270" spans="1:9" hidden="1" x14ac:dyDescent="0.25">
      <c r="A270" s="425" t="s">
        <v>332</v>
      </c>
      <c r="B270" s="426" t="s">
        <v>164</v>
      </c>
      <c r="C270" s="523"/>
      <c r="D270" s="523"/>
      <c r="E270" s="523"/>
      <c r="F270" s="523"/>
      <c r="G270" s="685" t="e">
        <f t="shared" si="73"/>
        <v>#DIV/0!</v>
      </c>
      <c r="H270" s="685" t="e">
        <f t="shared" si="83"/>
        <v>#DIV/0!</v>
      </c>
    </row>
    <row r="271" spans="1:9" s="761" customFormat="1" hidden="1" x14ac:dyDescent="0.25">
      <c r="A271" s="459" t="s">
        <v>165</v>
      </c>
      <c r="B271" s="460" t="s">
        <v>98</v>
      </c>
      <c r="C271" s="421">
        <f>C272+C274+C277</f>
        <v>0</v>
      </c>
      <c r="D271" s="421">
        <f>D272+D274+D277</f>
        <v>0</v>
      </c>
      <c r="E271" s="421">
        <f>E272+E274+E277</f>
        <v>0</v>
      </c>
      <c r="F271" s="421">
        <f t="shared" ref="F271" si="93">F272+F274+F277</f>
        <v>0</v>
      </c>
      <c r="G271" s="685" t="e">
        <f t="shared" si="73"/>
        <v>#DIV/0!</v>
      </c>
      <c r="H271" s="685" t="e">
        <f t="shared" si="83"/>
        <v>#DIV/0!</v>
      </c>
      <c r="I271" s="830"/>
    </row>
    <row r="272" spans="1:9" s="761" customFormat="1" hidden="1" x14ac:dyDescent="0.25">
      <c r="A272" s="422" t="s">
        <v>166</v>
      </c>
      <c r="B272" s="423" t="s">
        <v>68</v>
      </c>
      <c r="C272" s="424">
        <f>C273</f>
        <v>0</v>
      </c>
      <c r="D272" s="424">
        <f>D273</f>
        <v>0</v>
      </c>
      <c r="E272" s="424">
        <f>E273</f>
        <v>0</v>
      </c>
      <c r="F272" s="424">
        <f t="shared" ref="F272" si="94">F273</f>
        <v>0</v>
      </c>
      <c r="G272" s="685" t="e">
        <f t="shared" si="73"/>
        <v>#DIV/0!</v>
      </c>
      <c r="H272" s="685" t="e">
        <f t="shared" si="83"/>
        <v>#DIV/0!</v>
      </c>
      <c r="I272" s="830"/>
    </row>
    <row r="273" spans="1:9" hidden="1" x14ac:dyDescent="0.25">
      <c r="A273" s="425" t="s">
        <v>168</v>
      </c>
      <c r="B273" s="426" t="s">
        <v>167</v>
      </c>
      <c r="C273" s="523"/>
      <c r="D273" s="523"/>
      <c r="E273" s="523"/>
      <c r="F273" s="523"/>
      <c r="G273" s="685" t="e">
        <f t="shared" ref="G273:G362" si="95">F273/D273*100</f>
        <v>#DIV/0!</v>
      </c>
      <c r="H273" s="685" t="e">
        <f t="shared" si="83"/>
        <v>#DIV/0!</v>
      </c>
    </row>
    <row r="274" spans="1:9" s="761" customFormat="1" hidden="1" x14ac:dyDescent="0.25">
      <c r="A274" s="422" t="s">
        <v>333</v>
      </c>
      <c r="B274" s="423" t="s">
        <v>169</v>
      </c>
      <c r="C274" s="424">
        <f>SUM(C275:C276)</f>
        <v>0</v>
      </c>
      <c r="D274" s="424">
        <f>SUM(D275:D276)</f>
        <v>0</v>
      </c>
      <c r="E274" s="424">
        <f>SUM(E275:E276)</f>
        <v>0</v>
      </c>
      <c r="F274" s="424">
        <f t="shared" ref="F274" si="96">SUM(F275:F276)</f>
        <v>0</v>
      </c>
      <c r="G274" s="685" t="e">
        <f t="shared" si="95"/>
        <v>#DIV/0!</v>
      </c>
      <c r="H274" s="685" t="e">
        <f t="shared" si="83"/>
        <v>#DIV/0!</v>
      </c>
      <c r="I274" s="830"/>
    </row>
    <row r="275" spans="1:9" hidden="1" x14ac:dyDescent="0.25">
      <c r="A275" s="425" t="s">
        <v>334</v>
      </c>
      <c r="B275" s="426" t="s">
        <v>335</v>
      </c>
      <c r="C275" s="523"/>
      <c r="D275" s="523"/>
      <c r="E275" s="523"/>
      <c r="F275" s="523"/>
      <c r="G275" s="685" t="e">
        <f t="shared" si="95"/>
        <v>#DIV/0!</v>
      </c>
      <c r="H275" s="685" t="e">
        <f t="shared" si="83"/>
        <v>#DIV/0!</v>
      </c>
    </row>
    <row r="276" spans="1:9" hidden="1" x14ac:dyDescent="0.25">
      <c r="A276" s="425" t="s">
        <v>336</v>
      </c>
      <c r="B276" s="426" t="s">
        <v>173</v>
      </c>
      <c r="C276" s="523"/>
      <c r="D276" s="523"/>
      <c r="E276" s="523"/>
      <c r="F276" s="523"/>
      <c r="G276" s="685" t="e">
        <f t="shared" si="95"/>
        <v>#DIV/0!</v>
      </c>
      <c r="H276" s="685" t="e">
        <f t="shared" si="83"/>
        <v>#DIV/0!</v>
      </c>
    </row>
    <row r="277" spans="1:9" s="764" customFormat="1" hidden="1" x14ac:dyDescent="0.25">
      <c r="A277" s="422" t="s">
        <v>337</v>
      </c>
      <c r="B277" s="423" t="s">
        <v>338</v>
      </c>
      <c r="C277" s="524">
        <f>C278</f>
        <v>0</v>
      </c>
      <c r="D277" s="524">
        <f>D278</f>
        <v>0</v>
      </c>
      <c r="E277" s="524">
        <f>E278</f>
        <v>0</v>
      </c>
      <c r="F277" s="524">
        <f t="shared" ref="F277" si="97">F278</f>
        <v>0</v>
      </c>
      <c r="G277" s="685" t="e">
        <f t="shared" si="95"/>
        <v>#DIV/0!</v>
      </c>
      <c r="H277" s="685" t="e">
        <f t="shared" si="83"/>
        <v>#DIV/0!</v>
      </c>
      <c r="I277" s="837"/>
    </row>
    <row r="278" spans="1:9" hidden="1" x14ac:dyDescent="0.25">
      <c r="A278" s="425" t="s">
        <v>339</v>
      </c>
      <c r="B278" s="426" t="s">
        <v>340</v>
      </c>
      <c r="C278" s="438"/>
      <c r="D278" s="438"/>
      <c r="E278" s="438"/>
      <c r="F278" s="438"/>
      <c r="G278" s="685" t="e">
        <f t="shared" si="95"/>
        <v>#DIV/0!</v>
      </c>
      <c r="H278" s="685" t="e">
        <f t="shared" si="83"/>
        <v>#DIV/0!</v>
      </c>
    </row>
    <row r="279" spans="1:9" s="764" customFormat="1" hidden="1" x14ac:dyDescent="0.25">
      <c r="A279" s="461" t="s">
        <v>341</v>
      </c>
      <c r="B279" s="462" t="s">
        <v>174</v>
      </c>
      <c r="C279" s="447">
        <f>C280+C283</f>
        <v>0</v>
      </c>
      <c r="D279" s="447">
        <f>D280+D283</f>
        <v>0</v>
      </c>
      <c r="E279" s="447">
        <f>E280+E283</f>
        <v>0</v>
      </c>
      <c r="F279" s="447">
        <f t="shared" ref="F279" si="98">F280+F283</f>
        <v>0</v>
      </c>
      <c r="G279" s="685" t="e">
        <f t="shared" si="95"/>
        <v>#DIV/0!</v>
      </c>
      <c r="H279" s="685" t="e">
        <f t="shared" si="83"/>
        <v>#DIV/0!</v>
      </c>
      <c r="I279" s="837"/>
    </row>
    <row r="280" spans="1:9" s="764" customFormat="1" hidden="1" x14ac:dyDescent="0.25">
      <c r="A280" s="459" t="s">
        <v>175</v>
      </c>
      <c r="B280" s="460" t="s">
        <v>176</v>
      </c>
      <c r="C280" s="421">
        <f t="shared" ref="C280:F281" si="99">C281</f>
        <v>0</v>
      </c>
      <c r="D280" s="421">
        <f t="shared" si="99"/>
        <v>0</v>
      </c>
      <c r="E280" s="421">
        <f t="shared" si="99"/>
        <v>0</v>
      </c>
      <c r="F280" s="421">
        <f t="shared" si="99"/>
        <v>0</v>
      </c>
      <c r="G280" s="685" t="e">
        <f t="shared" si="95"/>
        <v>#DIV/0!</v>
      </c>
      <c r="H280" s="685" t="e">
        <f t="shared" si="83"/>
        <v>#DIV/0!</v>
      </c>
      <c r="I280" s="837"/>
    </row>
    <row r="281" spans="1:9" s="764" customFormat="1" hidden="1" x14ac:dyDescent="0.25">
      <c r="A281" s="422" t="s">
        <v>342</v>
      </c>
      <c r="B281" s="423" t="s">
        <v>181</v>
      </c>
      <c r="C281" s="424">
        <f t="shared" si="99"/>
        <v>0</v>
      </c>
      <c r="D281" s="424">
        <f t="shared" si="99"/>
        <v>0</v>
      </c>
      <c r="E281" s="424">
        <f t="shared" si="99"/>
        <v>0</v>
      </c>
      <c r="F281" s="424">
        <f t="shared" si="99"/>
        <v>0</v>
      </c>
      <c r="G281" s="685" t="e">
        <f t="shared" si="95"/>
        <v>#DIV/0!</v>
      </c>
      <c r="H281" s="685" t="e">
        <f t="shared" si="83"/>
        <v>#DIV/0!</v>
      </c>
      <c r="I281" s="837"/>
    </row>
    <row r="282" spans="1:9" hidden="1" x14ac:dyDescent="0.25">
      <c r="A282" s="425" t="s">
        <v>343</v>
      </c>
      <c r="B282" s="426" t="s">
        <v>182</v>
      </c>
      <c r="C282" s="429"/>
      <c r="D282" s="429"/>
      <c r="E282" s="429"/>
      <c r="F282" s="429"/>
      <c r="G282" s="685" t="e">
        <f t="shared" si="95"/>
        <v>#DIV/0!</v>
      </c>
      <c r="H282" s="685" t="e">
        <f t="shared" si="83"/>
        <v>#DIV/0!</v>
      </c>
    </row>
    <row r="283" spans="1:9" s="764" customFormat="1" hidden="1" x14ac:dyDescent="0.25">
      <c r="A283" s="459" t="s">
        <v>344</v>
      </c>
      <c r="B283" s="460" t="s">
        <v>183</v>
      </c>
      <c r="C283" s="421">
        <f>C284+C286+C295</f>
        <v>0</v>
      </c>
      <c r="D283" s="421">
        <f>D284+D286+D295</f>
        <v>0</v>
      </c>
      <c r="E283" s="421">
        <f>E284+E286+E295</f>
        <v>0</v>
      </c>
      <c r="F283" s="421">
        <f t="shared" ref="F283" si="100">F284+F286+F295</f>
        <v>0</v>
      </c>
      <c r="G283" s="685" t="e">
        <f t="shared" si="95"/>
        <v>#DIV/0!</v>
      </c>
      <c r="H283" s="685" t="e">
        <f t="shared" si="83"/>
        <v>#DIV/0!</v>
      </c>
      <c r="I283" s="837"/>
    </row>
    <row r="284" spans="1:9" s="764" customFormat="1" hidden="1" x14ac:dyDescent="0.25">
      <c r="A284" s="422" t="s">
        <v>206</v>
      </c>
      <c r="B284" s="423" t="s">
        <v>207</v>
      </c>
      <c r="C284" s="424">
        <f>C285</f>
        <v>0</v>
      </c>
      <c r="D284" s="424">
        <f>D285</f>
        <v>0</v>
      </c>
      <c r="E284" s="424">
        <f>E285</f>
        <v>0</v>
      </c>
      <c r="F284" s="424">
        <f t="shared" ref="F284" si="101">F285</f>
        <v>0</v>
      </c>
      <c r="G284" s="685" t="e">
        <f t="shared" si="95"/>
        <v>#DIV/0!</v>
      </c>
      <c r="H284" s="685" t="e">
        <f t="shared" si="83"/>
        <v>#DIV/0!</v>
      </c>
      <c r="I284" s="837"/>
    </row>
    <row r="285" spans="1:9" s="767" customFormat="1" hidden="1" x14ac:dyDescent="0.25">
      <c r="A285" s="425" t="s">
        <v>208</v>
      </c>
      <c r="B285" s="426" t="s">
        <v>209</v>
      </c>
      <c r="C285" s="429"/>
      <c r="D285" s="429"/>
      <c r="E285" s="429"/>
      <c r="F285" s="429"/>
      <c r="G285" s="685" t="e">
        <f t="shared" si="95"/>
        <v>#DIV/0!</v>
      </c>
      <c r="H285" s="685" t="e">
        <f t="shared" si="83"/>
        <v>#DIV/0!</v>
      </c>
      <c r="I285" s="829"/>
    </row>
    <row r="286" spans="1:9" s="764" customFormat="1" hidden="1" x14ac:dyDescent="0.25">
      <c r="A286" s="422" t="s">
        <v>223</v>
      </c>
      <c r="B286" s="423" t="s">
        <v>184</v>
      </c>
      <c r="C286" s="424">
        <f>SUM(C287:C292)</f>
        <v>0</v>
      </c>
      <c r="D286" s="424">
        <f>SUM(D287:D292)</f>
        <v>0</v>
      </c>
      <c r="E286" s="424">
        <f>SUM(E287:E292)</f>
        <v>0</v>
      </c>
      <c r="F286" s="424">
        <f t="shared" ref="F286" si="102">SUM(F287:F292)</f>
        <v>0</v>
      </c>
      <c r="G286" s="685" t="e">
        <f t="shared" si="95"/>
        <v>#DIV/0!</v>
      </c>
      <c r="H286" s="685" t="e">
        <f t="shared" si="83"/>
        <v>#DIV/0!</v>
      </c>
      <c r="I286" s="837"/>
    </row>
    <row r="287" spans="1:9" hidden="1" x14ac:dyDescent="0.25">
      <c r="A287" s="425" t="s">
        <v>185</v>
      </c>
      <c r="B287" s="426" t="s">
        <v>186</v>
      </c>
      <c r="C287" s="523"/>
      <c r="D287" s="523"/>
      <c r="E287" s="523"/>
      <c r="F287" s="523"/>
      <c r="G287" s="685" t="e">
        <f t="shared" si="95"/>
        <v>#DIV/0!</v>
      </c>
      <c r="H287" s="685" t="e">
        <f t="shared" si="83"/>
        <v>#DIV/0!</v>
      </c>
    </row>
    <row r="288" spans="1:9" hidden="1" x14ac:dyDescent="0.25">
      <c r="A288" s="425" t="s">
        <v>187</v>
      </c>
      <c r="B288" s="426" t="s">
        <v>188</v>
      </c>
      <c r="C288" s="523"/>
      <c r="D288" s="523"/>
      <c r="E288" s="523"/>
      <c r="F288" s="523"/>
      <c r="G288" s="685" t="e">
        <f t="shared" si="95"/>
        <v>#DIV/0!</v>
      </c>
      <c r="H288" s="685" t="e">
        <f t="shared" si="83"/>
        <v>#DIV/0!</v>
      </c>
    </row>
    <row r="289" spans="1:10" hidden="1" x14ac:dyDescent="0.25">
      <c r="A289" s="425" t="s">
        <v>228</v>
      </c>
      <c r="B289" s="426" t="s">
        <v>189</v>
      </c>
      <c r="C289" s="523"/>
      <c r="D289" s="523"/>
      <c r="E289" s="523"/>
      <c r="F289" s="523"/>
      <c r="G289" s="685" t="e">
        <f t="shared" si="95"/>
        <v>#DIV/0!</v>
      </c>
      <c r="H289" s="685" t="e">
        <f t="shared" si="83"/>
        <v>#DIV/0!</v>
      </c>
    </row>
    <row r="290" spans="1:10" hidden="1" x14ac:dyDescent="0.25">
      <c r="A290" s="425" t="s">
        <v>229</v>
      </c>
      <c r="B290" s="426" t="s">
        <v>190</v>
      </c>
      <c r="C290" s="523"/>
      <c r="D290" s="523"/>
      <c r="E290" s="523"/>
      <c r="F290" s="523"/>
      <c r="G290" s="685" t="e">
        <f t="shared" si="95"/>
        <v>#DIV/0!</v>
      </c>
      <c r="H290" s="685" t="e">
        <f t="shared" si="83"/>
        <v>#DIV/0!</v>
      </c>
    </row>
    <row r="291" spans="1:10" hidden="1" x14ac:dyDescent="0.25">
      <c r="A291" s="425" t="s">
        <v>230</v>
      </c>
      <c r="B291" s="184" t="s">
        <v>191</v>
      </c>
      <c r="C291" s="523"/>
      <c r="D291" s="523"/>
      <c r="E291" s="523"/>
      <c r="F291" s="523"/>
      <c r="G291" s="685" t="e">
        <f t="shared" si="95"/>
        <v>#DIV/0!</v>
      </c>
      <c r="H291" s="685" t="e">
        <f t="shared" si="83"/>
        <v>#DIV/0!</v>
      </c>
    </row>
    <row r="292" spans="1:10" hidden="1" x14ac:dyDescent="0.25">
      <c r="A292" s="425" t="s">
        <v>345</v>
      </c>
      <c r="B292" s="426" t="s">
        <v>192</v>
      </c>
      <c r="C292" s="523"/>
      <c r="D292" s="523"/>
      <c r="E292" s="523"/>
      <c r="F292" s="523"/>
      <c r="G292" s="685" t="e">
        <f t="shared" si="95"/>
        <v>#DIV/0!</v>
      </c>
      <c r="H292" s="685" t="e">
        <f t="shared" si="83"/>
        <v>#DIV/0!</v>
      </c>
    </row>
    <row r="293" spans="1:10" hidden="1" x14ac:dyDescent="0.25">
      <c r="A293" s="463" t="s">
        <v>346</v>
      </c>
      <c r="B293" s="186" t="s">
        <v>193</v>
      </c>
      <c r="C293" s="46">
        <f>C294</f>
        <v>0</v>
      </c>
      <c r="D293" s="46">
        <f>D294</f>
        <v>0</v>
      </c>
      <c r="E293" s="46">
        <f>E294</f>
        <v>0</v>
      </c>
      <c r="F293" s="46">
        <f t="shared" ref="F293" si="103">F294</f>
        <v>0</v>
      </c>
      <c r="G293" s="685" t="e">
        <f t="shared" si="95"/>
        <v>#DIV/0!</v>
      </c>
      <c r="H293" s="685" t="e">
        <f t="shared" si="83"/>
        <v>#DIV/0!</v>
      </c>
    </row>
    <row r="294" spans="1:10" hidden="1" x14ac:dyDescent="0.25">
      <c r="A294" s="425" t="s">
        <v>347</v>
      </c>
      <c r="B294" s="184" t="s">
        <v>193</v>
      </c>
      <c r="C294" s="523"/>
      <c r="D294" s="523"/>
      <c r="E294" s="523"/>
      <c r="F294" s="523"/>
      <c r="G294" s="685" t="e">
        <f t="shared" si="95"/>
        <v>#DIV/0!</v>
      </c>
      <c r="H294" s="685" t="e">
        <f t="shared" si="83"/>
        <v>#DIV/0!</v>
      </c>
    </row>
    <row r="295" spans="1:10" s="764" customFormat="1" hidden="1" x14ac:dyDescent="0.25">
      <c r="A295" s="422" t="s">
        <v>232</v>
      </c>
      <c r="B295" s="423" t="s">
        <v>302</v>
      </c>
      <c r="C295" s="524">
        <f>C296</f>
        <v>0</v>
      </c>
      <c r="D295" s="524">
        <f>D296</f>
        <v>0</v>
      </c>
      <c r="E295" s="524">
        <f>E296</f>
        <v>0</v>
      </c>
      <c r="F295" s="524">
        <f t="shared" ref="F295" si="104">F296</f>
        <v>0</v>
      </c>
      <c r="G295" s="685" t="e">
        <f t="shared" si="95"/>
        <v>#DIV/0!</v>
      </c>
      <c r="H295" s="685" t="e">
        <f t="shared" ref="H295:H364" si="105">F295/E295*100</f>
        <v>#DIV/0!</v>
      </c>
      <c r="I295" s="837"/>
    </row>
    <row r="296" spans="1:10" hidden="1" x14ac:dyDescent="0.25">
      <c r="A296" s="425" t="s">
        <v>233</v>
      </c>
      <c r="B296" s="426" t="s">
        <v>348</v>
      </c>
      <c r="C296" s="523"/>
      <c r="D296" s="523"/>
      <c r="E296" s="523"/>
      <c r="F296" s="523"/>
      <c r="G296" s="685" t="e">
        <f t="shared" si="95"/>
        <v>#DIV/0!</v>
      </c>
      <c r="H296" s="685" t="e">
        <f t="shared" si="105"/>
        <v>#DIV/0!</v>
      </c>
    </row>
    <row r="297" spans="1:10" x14ac:dyDescent="0.25">
      <c r="A297" s="454">
        <v>52</v>
      </c>
      <c r="B297" s="455" t="s">
        <v>224</v>
      </c>
      <c r="C297" s="688">
        <f>C298+C345</f>
        <v>0</v>
      </c>
      <c r="D297" s="688">
        <f>D298+D345</f>
        <v>68314.61</v>
      </c>
      <c r="E297" s="688">
        <f>E298+E345</f>
        <v>128314.61</v>
      </c>
      <c r="F297" s="688">
        <f>F298+F345</f>
        <v>0</v>
      </c>
      <c r="G297" s="689">
        <f t="shared" si="95"/>
        <v>0</v>
      </c>
      <c r="H297" s="689">
        <f t="shared" si="105"/>
        <v>0</v>
      </c>
    </row>
    <row r="298" spans="1:10" s="764" customFormat="1" x14ac:dyDescent="0.25">
      <c r="A298" s="457" t="s">
        <v>86</v>
      </c>
      <c r="B298" s="446" t="s">
        <v>87</v>
      </c>
      <c r="C298" s="447">
        <f>C299+C310+C342</f>
        <v>0</v>
      </c>
      <c r="D298" s="447">
        <f>D299+D310+D342</f>
        <v>68314.61</v>
      </c>
      <c r="E298" s="447">
        <f>E299+E310+E342</f>
        <v>128314.61</v>
      </c>
      <c r="F298" s="447">
        <f>F299+F310+F342</f>
        <v>0</v>
      </c>
      <c r="G298" s="687">
        <f t="shared" si="95"/>
        <v>0</v>
      </c>
      <c r="H298" s="687">
        <f t="shared" si="105"/>
        <v>0</v>
      </c>
      <c r="I298" s="837"/>
      <c r="J298" s="798"/>
    </row>
    <row r="299" spans="1:10" s="764" customFormat="1" x14ac:dyDescent="0.25">
      <c r="A299" s="419">
        <v>31</v>
      </c>
      <c r="B299" s="420" t="s">
        <v>88</v>
      </c>
      <c r="C299" s="421">
        <f>C300+C305+C307</f>
        <v>0</v>
      </c>
      <c r="D299" s="421">
        <f>D300+D305+D307</f>
        <v>68314.61</v>
      </c>
      <c r="E299" s="421">
        <f>E300+E305+E307</f>
        <v>68314.61</v>
      </c>
      <c r="F299" s="421">
        <f t="shared" ref="F299" si="106">F300+F305+F307</f>
        <v>0</v>
      </c>
      <c r="G299" s="684">
        <f t="shared" si="95"/>
        <v>0</v>
      </c>
      <c r="H299" s="684">
        <f t="shared" si="105"/>
        <v>0</v>
      </c>
      <c r="I299" s="837"/>
    </row>
    <row r="300" spans="1:10" s="760" customFormat="1" x14ac:dyDescent="0.25">
      <c r="A300" s="422">
        <v>311</v>
      </c>
      <c r="B300" s="423" t="s">
        <v>89</v>
      </c>
      <c r="C300" s="424">
        <f>C301+C303+C304</f>
        <v>0</v>
      </c>
      <c r="D300" s="424">
        <f>D301+D303+D304</f>
        <v>58639.15</v>
      </c>
      <c r="E300" s="424">
        <f>E301+E303+E304</f>
        <v>58639.15</v>
      </c>
      <c r="F300" s="424">
        <f t="shared" ref="F300" si="107">F301+F303+F304</f>
        <v>0</v>
      </c>
      <c r="G300" s="685">
        <f t="shared" si="95"/>
        <v>0</v>
      </c>
      <c r="H300" s="685">
        <f t="shared" si="105"/>
        <v>0</v>
      </c>
      <c r="I300" s="834"/>
    </row>
    <row r="301" spans="1:10" s="760" customFormat="1" x14ac:dyDescent="0.25">
      <c r="A301" s="463">
        <v>3111</v>
      </c>
      <c r="B301" s="466" t="s">
        <v>90</v>
      </c>
      <c r="C301" s="424">
        <f>SUM(C302)</f>
        <v>0</v>
      </c>
      <c r="D301" s="424">
        <f>SUM(D302)</f>
        <v>58639.15</v>
      </c>
      <c r="E301" s="424">
        <f>SUM(E302)</f>
        <v>58639.15</v>
      </c>
      <c r="F301" s="424">
        <f t="shared" ref="F301" si="108">SUM(F302)</f>
        <v>0</v>
      </c>
      <c r="G301" s="685">
        <f t="shared" si="95"/>
        <v>0</v>
      </c>
      <c r="H301" s="685">
        <f t="shared" si="105"/>
        <v>0</v>
      </c>
      <c r="I301" s="834"/>
    </row>
    <row r="302" spans="1:10" x14ac:dyDescent="0.25">
      <c r="A302" s="425" t="s">
        <v>466</v>
      </c>
      <c r="B302" s="426" t="s">
        <v>90</v>
      </c>
      <c r="C302" s="429">
        <v>0</v>
      </c>
      <c r="D302" s="429">
        <v>58639.15</v>
      </c>
      <c r="E302" s="429">
        <v>58639.15</v>
      </c>
      <c r="F302" s="429">
        <v>0</v>
      </c>
      <c r="G302" s="685">
        <f t="shared" si="95"/>
        <v>0</v>
      </c>
      <c r="H302" s="685">
        <f t="shared" si="105"/>
        <v>0</v>
      </c>
    </row>
    <row r="303" spans="1:10" x14ac:dyDescent="0.25">
      <c r="A303" s="425" t="s">
        <v>93</v>
      </c>
      <c r="B303" s="426" t="s">
        <v>94</v>
      </c>
      <c r="C303" s="429"/>
      <c r="D303" s="429"/>
      <c r="E303" s="429"/>
      <c r="F303" s="429"/>
      <c r="G303" s="685" t="e">
        <f t="shared" si="95"/>
        <v>#DIV/0!</v>
      </c>
      <c r="H303" s="685" t="e">
        <f t="shared" si="105"/>
        <v>#DIV/0!</v>
      </c>
    </row>
    <row r="304" spans="1:10" x14ac:dyDescent="0.25">
      <c r="A304" s="425" t="s">
        <v>95</v>
      </c>
      <c r="B304" s="143" t="s">
        <v>211</v>
      </c>
      <c r="C304" s="429"/>
      <c r="D304" s="429"/>
      <c r="E304" s="429"/>
      <c r="F304" s="429"/>
      <c r="G304" s="685" t="e">
        <f t="shared" si="95"/>
        <v>#DIV/0!</v>
      </c>
      <c r="H304" s="685" t="e">
        <f t="shared" si="105"/>
        <v>#DIV/0!</v>
      </c>
    </row>
    <row r="305" spans="1:10" s="761" customFormat="1" x14ac:dyDescent="0.25">
      <c r="A305" s="422" t="s">
        <v>97</v>
      </c>
      <c r="B305" s="423" t="s">
        <v>98</v>
      </c>
      <c r="C305" s="424">
        <f>C306</f>
        <v>0</v>
      </c>
      <c r="D305" s="424">
        <f>D306</f>
        <v>0</v>
      </c>
      <c r="E305" s="424">
        <f>E306</f>
        <v>0</v>
      </c>
      <c r="F305" s="424">
        <f t="shared" ref="F305" si="109">F306</f>
        <v>0</v>
      </c>
      <c r="G305" s="685" t="e">
        <f t="shared" si="95"/>
        <v>#DIV/0!</v>
      </c>
      <c r="H305" s="685" t="e">
        <f t="shared" si="105"/>
        <v>#DIV/0!</v>
      </c>
      <c r="I305" s="830"/>
    </row>
    <row r="306" spans="1:10" x14ac:dyDescent="0.25">
      <c r="A306" s="425" t="s">
        <v>99</v>
      </c>
      <c r="B306" s="426" t="s">
        <v>98</v>
      </c>
      <c r="C306" s="429"/>
      <c r="D306" s="429"/>
      <c r="E306" s="429"/>
      <c r="F306" s="429"/>
      <c r="G306" s="685" t="e">
        <f t="shared" si="95"/>
        <v>#DIV/0!</v>
      </c>
      <c r="H306" s="685" t="e">
        <f t="shared" si="105"/>
        <v>#DIV/0!</v>
      </c>
    </row>
    <row r="307" spans="1:10" s="761" customFormat="1" x14ac:dyDescent="0.25">
      <c r="A307" s="422" t="s">
        <v>212</v>
      </c>
      <c r="B307" s="423" t="s">
        <v>100</v>
      </c>
      <c r="C307" s="424">
        <f>C308</f>
        <v>0</v>
      </c>
      <c r="D307" s="424">
        <f>D308</f>
        <v>9675.4599999999991</v>
      </c>
      <c r="E307" s="424">
        <f>E308</f>
        <v>9675.4599999999991</v>
      </c>
      <c r="F307" s="424">
        <f t="shared" ref="F307" si="110">F308</f>
        <v>0</v>
      </c>
      <c r="G307" s="685">
        <f t="shared" si="95"/>
        <v>0</v>
      </c>
      <c r="H307" s="685">
        <f t="shared" si="105"/>
        <v>0</v>
      </c>
      <c r="I307" s="830"/>
    </row>
    <row r="308" spans="1:10" s="761" customFormat="1" x14ac:dyDescent="0.25">
      <c r="A308" s="422" t="s">
        <v>213</v>
      </c>
      <c r="B308" s="423" t="s">
        <v>101</v>
      </c>
      <c r="C308" s="424">
        <f>SUM(C309)</f>
        <v>0</v>
      </c>
      <c r="D308" s="424">
        <f>SUM(D309)</f>
        <v>9675.4599999999991</v>
      </c>
      <c r="E308" s="424">
        <f>SUM(E309)</f>
        <v>9675.4599999999991</v>
      </c>
      <c r="F308" s="424">
        <f t="shared" ref="F308" si="111">SUM(F309)</f>
        <v>0</v>
      </c>
      <c r="G308" s="685">
        <f t="shared" si="95"/>
        <v>0</v>
      </c>
      <c r="H308" s="685">
        <f t="shared" si="105"/>
        <v>0</v>
      </c>
      <c r="I308" s="830"/>
    </row>
    <row r="309" spans="1:10" x14ac:dyDescent="0.25">
      <c r="A309" s="425" t="s">
        <v>476</v>
      </c>
      <c r="B309" s="426" t="s">
        <v>101</v>
      </c>
      <c r="C309" s="429">
        <v>0</v>
      </c>
      <c r="D309" s="429">
        <v>9675.4599999999991</v>
      </c>
      <c r="E309" s="429">
        <v>9675.4599999999991</v>
      </c>
      <c r="F309" s="429">
        <v>0</v>
      </c>
      <c r="G309" s="685">
        <f t="shared" si="95"/>
        <v>0</v>
      </c>
      <c r="H309" s="685">
        <f t="shared" si="105"/>
        <v>0</v>
      </c>
    </row>
    <row r="310" spans="1:10" s="764" customFormat="1" x14ac:dyDescent="0.25">
      <c r="A310" s="419">
        <v>32</v>
      </c>
      <c r="B310" s="420" t="s">
        <v>102</v>
      </c>
      <c r="C310" s="421">
        <f>C311</f>
        <v>0</v>
      </c>
      <c r="D310" s="421">
        <f>D311</f>
        <v>0</v>
      </c>
      <c r="E310" s="421">
        <f>E311+E321+E331+E335</f>
        <v>60000</v>
      </c>
      <c r="F310" s="421">
        <f>F311+F321+F331+F335</f>
        <v>0</v>
      </c>
      <c r="G310" s="684" t="e">
        <f t="shared" si="95"/>
        <v>#DIV/0!</v>
      </c>
      <c r="H310" s="684">
        <f t="shared" si="105"/>
        <v>0</v>
      </c>
      <c r="I310" s="837"/>
      <c r="J310" s="798"/>
    </row>
    <row r="311" spans="1:10" s="764" customFormat="1" x14ac:dyDescent="0.25">
      <c r="A311" s="463" t="s">
        <v>112</v>
      </c>
      <c r="B311" s="466" t="s">
        <v>113</v>
      </c>
      <c r="C311" s="424">
        <f>C315+C317+C320</f>
        <v>0</v>
      </c>
      <c r="D311" s="424">
        <f>D315+D317+D320</f>
        <v>0</v>
      </c>
      <c r="E311" s="424">
        <f>E312+E315+E317+E320</f>
        <v>4000</v>
      </c>
      <c r="F311" s="424">
        <f>F312+F315+F317+F320</f>
        <v>0</v>
      </c>
      <c r="G311" s="685" t="e">
        <f t="shared" si="95"/>
        <v>#DIV/0!</v>
      </c>
      <c r="H311" s="685">
        <f t="shared" si="105"/>
        <v>0</v>
      </c>
      <c r="I311" s="837"/>
      <c r="J311" s="798"/>
    </row>
    <row r="312" spans="1:10" s="764" customFormat="1" x14ac:dyDescent="0.25">
      <c r="A312" s="463" t="s">
        <v>114</v>
      </c>
      <c r="B312" s="466" t="s">
        <v>115</v>
      </c>
      <c r="C312" s="424"/>
      <c r="D312" s="424"/>
      <c r="E312" s="424">
        <f>E313+E314</f>
        <v>4000</v>
      </c>
      <c r="F312" s="424">
        <f>F313+F314</f>
        <v>0</v>
      </c>
      <c r="G312" s="685"/>
      <c r="H312" s="685">
        <f t="shared" si="105"/>
        <v>0</v>
      </c>
      <c r="I312" s="837"/>
      <c r="J312" s="798"/>
    </row>
    <row r="313" spans="1:10" s="764" customFormat="1" x14ac:dyDescent="0.25">
      <c r="A313" s="468" t="s">
        <v>499</v>
      </c>
      <c r="B313" s="476" t="s">
        <v>395</v>
      </c>
      <c r="C313" s="429"/>
      <c r="D313" s="429"/>
      <c r="E313" s="429">
        <v>2000</v>
      </c>
      <c r="F313" s="429">
        <v>0</v>
      </c>
      <c r="G313" s="818"/>
      <c r="H313" s="685">
        <f t="shared" si="105"/>
        <v>0</v>
      </c>
      <c r="I313" s="837"/>
      <c r="J313" s="798"/>
    </row>
    <row r="314" spans="1:10" s="764" customFormat="1" x14ac:dyDescent="0.25">
      <c r="A314" s="468" t="s">
        <v>520</v>
      </c>
      <c r="B314" s="476" t="s">
        <v>397</v>
      </c>
      <c r="C314" s="429"/>
      <c r="D314" s="429"/>
      <c r="E314" s="429">
        <v>2000</v>
      </c>
      <c r="F314" s="429">
        <v>0</v>
      </c>
      <c r="G314" s="818"/>
      <c r="H314" s="685">
        <f t="shared" si="105"/>
        <v>0</v>
      </c>
      <c r="I314" s="837"/>
      <c r="J314" s="798"/>
    </row>
    <row r="315" spans="1:10" hidden="1" x14ac:dyDescent="0.25">
      <c r="A315" s="463" t="s">
        <v>116</v>
      </c>
      <c r="B315" s="466" t="s">
        <v>117</v>
      </c>
      <c r="C315" s="424"/>
      <c r="D315" s="424"/>
      <c r="E315" s="424">
        <f>E316</f>
        <v>0</v>
      </c>
      <c r="F315" s="424">
        <f>F316</f>
        <v>0</v>
      </c>
      <c r="G315" s="685" t="e">
        <f t="shared" si="95"/>
        <v>#DIV/0!</v>
      </c>
      <c r="H315" s="685" t="e">
        <f t="shared" si="105"/>
        <v>#DIV/0!</v>
      </c>
      <c r="J315" s="799"/>
    </row>
    <row r="316" spans="1:10" hidden="1" x14ac:dyDescent="0.25">
      <c r="A316" s="425" t="s">
        <v>479</v>
      </c>
      <c r="B316" s="426" t="s">
        <v>400</v>
      </c>
      <c r="C316" s="429"/>
      <c r="D316" s="429"/>
      <c r="E316" s="429"/>
      <c r="F316" s="429">
        <v>0</v>
      </c>
      <c r="G316" s="685"/>
      <c r="H316" s="685" t="e">
        <f t="shared" si="105"/>
        <v>#DIV/0!</v>
      </c>
      <c r="J316" s="799"/>
    </row>
    <row r="317" spans="1:10" hidden="1" x14ac:dyDescent="0.25">
      <c r="A317" s="463" t="s">
        <v>118</v>
      </c>
      <c r="B317" s="466" t="s">
        <v>119</v>
      </c>
      <c r="C317" s="424"/>
      <c r="D317" s="424"/>
      <c r="E317" s="424">
        <f>E318+E319</f>
        <v>0</v>
      </c>
      <c r="F317" s="424">
        <f>F318+F319</f>
        <v>0</v>
      </c>
      <c r="G317" s="685" t="e">
        <f t="shared" si="95"/>
        <v>#DIV/0!</v>
      </c>
      <c r="H317" s="685" t="e">
        <f t="shared" si="105"/>
        <v>#DIV/0!</v>
      </c>
      <c r="J317" s="799"/>
    </row>
    <row r="318" spans="1:10" hidden="1" x14ac:dyDescent="0.25">
      <c r="A318" s="425" t="s">
        <v>482</v>
      </c>
      <c r="B318" s="426" t="s">
        <v>404</v>
      </c>
      <c r="C318" s="429"/>
      <c r="D318" s="429"/>
      <c r="E318" s="429"/>
      <c r="F318" s="429">
        <v>0</v>
      </c>
      <c r="G318" s="685"/>
      <c r="H318" s="685" t="e">
        <f t="shared" si="105"/>
        <v>#DIV/0!</v>
      </c>
      <c r="J318" s="799"/>
    </row>
    <row r="319" spans="1:10" hidden="1" x14ac:dyDescent="0.25">
      <c r="A319" s="425" t="s">
        <v>484</v>
      </c>
      <c r="B319" s="426" t="s">
        <v>406</v>
      </c>
      <c r="C319" s="429"/>
      <c r="D319" s="429"/>
      <c r="E319" s="429"/>
      <c r="F319" s="429">
        <v>0</v>
      </c>
      <c r="G319" s="685"/>
      <c r="H319" s="685" t="e">
        <f t="shared" si="105"/>
        <v>#DIV/0!</v>
      </c>
      <c r="J319" s="799"/>
    </row>
    <row r="320" spans="1:10" hidden="1" x14ac:dyDescent="0.25">
      <c r="A320" s="463" t="s">
        <v>120</v>
      </c>
      <c r="B320" s="466" t="s">
        <v>321</v>
      </c>
      <c r="C320" s="424"/>
      <c r="D320" s="424"/>
      <c r="E320" s="424"/>
      <c r="F320" s="424"/>
      <c r="G320" s="685" t="e">
        <f t="shared" si="95"/>
        <v>#DIV/0!</v>
      </c>
      <c r="H320" s="685" t="e">
        <f t="shared" si="105"/>
        <v>#DIV/0!</v>
      </c>
      <c r="J320" s="799"/>
    </row>
    <row r="321" spans="1:10" x14ac:dyDescent="0.25">
      <c r="A321" s="463" t="s">
        <v>126</v>
      </c>
      <c r="B321" s="423" t="s">
        <v>127</v>
      </c>
      <c r="C321" s="424"/>
      <c r="D321" s="424"/>
      <c r="E321" s="424">
        <f>E322+E324+E326+E328</f>
        <v>10000</v>
      </c>
      <c r="F321" s="424">
        <f>F322+F324+F326+F328</f>
        <v>0</v>
      </c>
      <c r="G321" s="685"/>
      <c r="H321" s="685">
        <f t="shared" si="105"/>
        <v>0</v>
      </c>
      <c r="J321" s="799"/>
    </row>
    <row r="322" spans="1:10" x14ac:dyDescent="0.25">
      <c r="A322" s="463" t="s">
        <v>128</v>
      </c>
      <c r="B322" s="466" t="s">
        <v>129</v>
      </c>
      <c r="C322" s="424">
        <f>C323</f>
        <v>0</v>
      </c>
      <c r="D322" s="424">
        <f>D323</f>
        <v>0</v>
      </c>
      <c r="E322" s="424">
        <f t="shared" ref="E322:F322" si="112">E323</f>
        <v>3000</v>
      </c>
      <c r="F322" s="424">
        <f t="shared" si="112"/>
        <v>0</v>
      </c>
      <c r="G322" s="685" t="e">
        <f t="shared" ref="G322" si="113">F322/D322*100</f>
        <v>#DIV/0!</v>
      </c>
      <c r="H322" s="685">
        <f t="shared" ref="H322:H325" si="114">F322/E322*100</f>
        <v>0</v>
      </c>
      <c r="J322" s="799"/>
    </row>
    <row r="323" spans="1:10" x14ac:dyDescent="0.25">
      <c r="A323" s="468" t="s">
        <v>488</v>
      </c>
      <c r="B323" s="476" t="s">
        <v>411</v>
      </c>
      <c r="C323" s="429"/>
      <c r="D323" s="429"/>
      <c r="E323" s="429">
        <v>3000</v>
      </c>
      <c r="F323" s="429">
        <v>0</v>
      </c>
      <c r="G323" s="685"/>
      <c r="H323" s="685">
        <f t="shared" si="114"/>
        <v>0</v>
      </c>
      <c r="I323" s="831">
        <f>565.11+376.35+524.3+87.9</f>
        <v>1553.66</v>
      </c>
      <c r="J323" s="799"/>
    </row>
    <row r="324" spans="1:10" x14ac:dyDescent="0.25">
      <c r="A324" s="463" t="s">
        <v>217</v>
      </c>
      <c r="B324" s="466" t="s">
        <v>137</v>
      </c>
      <c r="C324" s="424"/>
      <c r="D324" s="424"/>
      <c r="E324" s="424">
        <f>E325</f>
        <v>7000</v>
      </c>
      <c r="F324" s="424">
        <f>F325</f>
        <v>0</v>
      </c>
      <c r="G324" s="685" t="e">
        <f t="shared" ref="G324" si="115">F324/D324*100</f>
        <v>#DIV/0!</v>
      </c>
      <c r="H324" s="685">
        <f t="shared" si="114"/>
        <v>0</v>
      </c>
      <c r="J324" s="799"/>
    </row>
    <row r="325" spans="1:10" x14ac:dyDescent="0.25">
      <c r="A325" s="468" t="s">
        <v>500</v>
      </c>
      <c r="B325" s="476" t="s">
        <v>422</v>
      </c>
      <c r="C325" s="429"/>
      <c r="D325" s="429"/>
      <c r="E325" s="429">
        <v>7000</v>
      </c>
      <c r="F325" s="429">
        <v>0</v>
      </c>
      <c r="G325" s="685"/>
      <c r="H325" s="685">
        <f t="shared" si="114"/>
        <v>0</v>
      </c>
      <c r="J325" s="799"/>
    </row>
    <row r="326" spans="1:10" hidden="1" x14ac:dyDescent="0.25">
      <c r="A326" s="463" t="s">
        <v>218</v>
      </c>
      <c r="B326" s="466" t="s">
        <v>138</v>
      </c>
      <c r="C326" s="424"/>
      <c r="D326" s="424"/>
      <c r="E326" s="424">
        <f>E327</f>
        <v>0</v>
      </c>
      <c r="F326" s="424">
        <f>F327</f>
        <v>0</v>
      </c>
      <c r="G326" s="685" t="e">
        <f t="shared" ref="G326" si="116">F326/D326*100</f>
        <v>#DIV/0!</v>
      </c>
      <c r="H326" s="685" t="e">
        <f t="shared" ref="H326:H344" si="117">F326/E326*100</f>
        <v>#DIV/0!</v>
      </c>
      <c r="J326" s="799"/>
    </row>
    <row r="327" spans="1:10" hidden="1" x14ac:dyDescent="0.25">
      <c r="A327" s="468">
        <v>32379</v>
      </c>
      <c r="B327" s="476" t="s">
        <v>491</v>
      </c>
      <c r="C327" s="429"/>
      <c r="D327" s="429"/>
      <c r="E327" s="429"/>
      <c r="F327" s="429">
        <v>0</v>
      </c>
      <c r="G327" s="685"/>
      <c r="H327" s="685" t="e">
        <f t="shared" si="117"/>
        <v>#DIV/0!</v>
      </c>
      <c r="J327" s="799"/>
    </row>
    <row r="328" spans="1:10" hidden="1" x14ac:dyDescent="0.25">
      <c r="A328" s="463" t="s">
        <v>141</v>
      </c>
      <c r="B328" s="466" t="s">
        <v>142</v>
      </c>
      <c r="C328" s="424"/>
      <c r="D328" s="424"/>
      <c r="E328" s="424">
        <f>E329</f>
        <v>0</v>
      </c>
      <c r="F328" s="424">
        <f>F329+F330</f>
        <v>0</v>
      </c>
      <c r="G328" s="685" t="e">
        <f t="shared" ref="G328" si="118">F328/D328*100</f>
        <v>#DIV/0!</v>
      </c>
      <c r="H328" s="685" t="e">
        <f t="shared" si="117"/>
        <v>#DIV/0!</v>
      </c>
      <c r="J328" s="799"/>
    </row>
    <row r="329" spans="1:10" hidden="1" x14ac:dyDescent="0.25">
      <c r="A329" s="468" t="s">
        <v>603</v>
      </c>
      <c r="B329" s="476" t="s">
        <v>426</v>
      </c>
      <c r="C329" s="429"/>
      <c r="D329" s="429"/>
      <c r="E329" s="429"/>
      <c r="F329" s="429">
        <v>0</v>
      </c>
      <c r="G329" s="685"/>
      <c r="H329" s="685" t="e">
        <f t="shared" si="117"/>
        <v>#DIV/0!</v>
      </c>
      <c r="J329" s="799"/>
    </row>
    <row r="330" spans="1:10" hidden="1" x14ac:dyDescent="0.25">
      <c r="A330" s="468" t="s">
        <v>502</v>
      </c>
      <c r="B330" s="476" t="s">
        <v>305</v>
      </c>
      <c r="C330" s="429"/>
      <c r="D330" s="429"/>
      <c r="E330" s="429"/>
      <c r="F330" s="429"/>
      <c r="G330" s="685" t="e">
        <f t="shared" ref="G330" si="119">F330/D330*100</f>
        <v>#DIV/0!</v>
      </c>
      <c r="H330" s="685" t="e">
        <f t="shared" si="117"/>
        <v>#DIV/0!</v>
      </c>
      <c r="J330" s="799"/>
    </row>
    <row r="331" spans="1:10" x14ac:dyDescent="0.25">
      <c r="A331" s="463" t="s">
        <v>619</v>
      </c>
      <c r="B331" s="466" t="s">
        <v>127</v>
      </c>
      <c r="C331" s="424">
        <f>C332</f>
        <v>0</v>
      </c>
      <c r="D331" s="424">
        <f>D332</f>
        <v>0</v>
      </c>
      <c r="E331" s="424">
        <f t="shared" ref="E331:F331" si="120">E332</f>
        <v>46000</v>
      </c>
      <c r="F331" s="424">
        <f t="shared" si="120"/>
        <v>0</v>
      </c>
      <c r="G331" s="685" t="e">
        <f t="shared" ref="G331:G334" si="121">F331/D331*100</f>
        <v>#DIV/0!</v>
      </c>
      <c r="H331" s="685">
        <f t="shared" ref="H331:H334" si="122">F331/E331*100</f>
        <v>0</v>
      </c>
      <c r="J331" s="799"/>
    </row>
    <row r="332" spans="1:10" x14ac:dyDescent="0.25">
      <c r="A332" s="463" t="s">
        <v>620</v>
      </c>
      <c r="B332" s="466" t="s">
        <v>142</v>
      </c>
      <c r="C332" s="424">
        <f>C333+C334</f>
        <v>0</v>
      </c>
      <c r="D332" s="424">
        <f>D333+D334</f>
        <v>0</v>
      </c>
      <c r="E332" s="424">
        <f t="shared" ref="E332:F332" si="123">E333+E334</f>
        <v>46000</v>
      </c>
      <c r="F332" s="424">
        <f t="shared" si="123"/>
        <v>0</v>
      </c>
      <c r="G332" s="685" t="e">
        <f t="shared" si="121"/>
        <v>#DIV/0!</v>
      </c>
      <c r="H332" s="685">
        <f t="shared" si="122"/>
        <v>0</v>
      </c>
      <c r="J332" s="799"/>
    </row>
    <row r="333" spans="1:10" x14ac:dyDescent="0.25">
      <c r="A333" s="425" t="s">
        <v>621</v>
      </c>
      <c r="B333" s="426" t="s">
        <v>623</v>
      </c>
      <c r="C333" s="429"/>
      <c r="D333" s="429"/>
      <c r="E333" s="429">
        <v>4000</v>
      </c>
      <c r="F333" s="429">
        <v>0</v>
      </c>
      <c r="G333" s="685" t="e">
        <f t="shared" si="121"/>
        <v>#DIV/0!</v>
      </c>
      <c r="H333" s="685">
        <f t="shared" si="122"/>
        <v>0</v>
      </c>
      <c r="I333" s="831">
        <f>1750.58</f>
        <v>1750.58</v>
      </c>
      <c r="J333" s="799"/>
    </row>
    <row r="334" spans="1:10" x14ac:dyDescent="0.25">
      <c r="A334" s="425" t="s">
        <v>622</v>
      </c>
      <c r="B334" s="426" t="s">
        <v>624</v>
      </c>
      <c r="C334" s="429"/>
      <c r="D334" s="429"/>
      <c r="E334" s="429">
        <v>42000</v>
      </c>
      <c r="F334" s="429">
        <v>0</v>
      </c>
      <c r="G334" s="685" t="e">
        <f t="shared" si="121"/>
        <v>#DIV/0!</v>
      </c>
      <c r="H334" s="685">
        <f t="shared" si="122"/>
        <v>0</v>
      </c>
      <c r="I334" s="831">
        <f>3584.01+17798.09+7037.39+5012.5+1509.88+1855.15-101.26</f>
        <v>36695.759999999995</v>
      </c>
      <c r="J334" s="799"/>
    </row>
    <row r="335" spans="1:10" hidden="1" x14ac:dyDescent="0.25">
      <c r="A335" s="422" t="s">
        <v>219</v>
      </c>
      <c r="B335" s="466" t="s">
        <v>144</v>
      </c>
      <c r="C335" s="424"/>
      <c r="D335" s="424"/>
      <c r="E335" s="424">
        <f>E336+E340</f>
        <v>0</v>
      </c>
      <c r="F335" s="424">
        <f>F336+F338+F340</f>
        <v>0</v>
      </c>
      <c r="G335" s="685"/>
      <c r="H335" s="685" t="e">
        <f t="shared" si="117"/>
        <v>#DIV/0!</v>
      </c>
      <c r="I335" s="831">
        <f>SUM(I323:I334)</f>
        <v>39999.999999999993</v>
      </c>
      <c r="J335" s="799"/>
    </row>
    <row r="336" spans="1:10" hidden="1" x14ac:dyDescent="0.25">
      <c r="A336" s="463" t="s">
        <v>231</v>
      </c>
      <c r="B336" s="466" t="s">
        <v>147</v>
      </c>
      <c r="C336" s="429"/>
      <c r="D336" s="429"/>
      <c r="E336" s="424">
        <f>E337</f>
        <v>0</v>
      </c>
      <c r="F336" s="424">
        <f>F337</f>
        <v>0</v>
      </c>
      <c r="G336" s="685" t="e">
        <f t="shared" ref="G336" si="124">F336/D336*100</f>
        <v>#DIV/0!</v>
      </c>
      <c r="H336" s="685" t="e">
        <f t="shared" si="117"/>
        <v>#DIV/0!</v>
      </c>
      <c r="J336" s="799"/>
    </row>
    <row r="337" spans="1:10" hidden="1" x14ac:dyDescent="0.25">
      <c r="A337" s="425" t="s">
        <v>604</v>
      </c>
      <c r="B337" s="426" t="s">
        <v>428</v>
      </c>
      <c r="C337" s="424"/>
      <c r="D337" s="424"/>
      <c r="E337" s="429"/>
      <c r="F337" s="429">
        <v>0</v>
      </c>
      <c r="G337" s="685"/>
      <c r="H337" s="685" t="e">
        <f t="shared" si="117"/>
        <v>#DIV/0!</v>
      </c>
      <c r="J337" s="799"/>
    </row>
    <row r="338" spans="1:10" hidden="1" x14ac:dyDescent="0.25">
      <c r="A338" s="463" t="s">
        <v>221</v>
      </c>
      <c r="B338" s="466" t="s">
        <v>148</v>
      </c>
      <c r="C338" s="424">
        <f>C339</f>
        <v>0</v>
      </c>
      <c r="D338" s="424">
        <f>D339</f>
        <v>0</v>
      </c>
      <c r="E338" s="424">
        <f>E339</f>
        <v>0</v>
      </c>
      <c r="F338" s="424">
        <f>F339</f>
        <v>0</v>
      </c>
      <c r="G338" s="685" t="e">
        <f t="shared" ref="G338" si="125">F338/D338*100</f>
        <v>#DIV/0!</v>
      </c>
      <c r="H338" s="685" t="e">
        <f t="shared" si="117"/>
        <v>#DIV/0!</v>
      </c>
      <c r="J338" s="799"/>
    </row>
    <row r="339" spans="1:10" hidden="1" x14ac:dyDescent="0.25">
      <c r="A339" s="425" t="s">
        <v>535</v>
      </c>
      <c r="B339" s="426" t="s">
        <v>148</v>
      </c>
      <c r="C339" s="424"/>
      <c r="D339" s="424"/>
      <c r="E339" s="429"/>
      <c r="F339" s="429"/>
      <c r="G339" s="685"/>
      <c r="H339" s="685" t="e">
        <f t="shared" si="117"/>
        <v>#DIV/0!</v>
      </c>
      <c r="J339" s="799"/>
    </row>
    <row r="340" spans="1:10" hidden="1" x14ac:dyDescent="0.25">
      <c r="A340" s="463" t="s">
        <v>152</v>
      </c>
      <c r="B340" s="466" t="s">
        <v>144</v>
      </c>
      <c r="C340" s="424"/>
      <c r="D340" s="424"/>
      <c r="E340" s="424">
        <f>E341</f>
        <v>0</v>
      </c>
      <c r="F340" s="424">
        <f>F341</f>
        <v>0</v>
      </c>
      <c r="G340" s="685"/>
      <c r="H340" s="685" t="e">
        <f t="shared" si="117"/>
        <v>#DIV/0!</v>
      </c>
      <c r="J340" s="799"/>
    </row>
    <row r="341" spans="1:10" hidden="1" x14ac:dyDescent="0.25">
      <c r="A341" s="425" t="s">
        <v>605</v>
      </c>
      <c r="B341" s="426" t="s">
        <v>144</v>
      </c>
      <c r="C341" s="424"/>
      <c r="D341" s="424"/>
      <c r="E341" s="429"/>
      <c r="F341" s="429">
        <v>0</v>
      </c>
      <c r="G341" s="685" t="e">
        <f t="shared" ref="G341" si="126">F341/D341*100</f>
        <v>#DIV/0!</v>
      </c>
      <c r="H341" s="685" t="e">
        <f t="shared" si="117"/>
        <v>#DIV/0!</v>
      </c>
      <c r="J341" s="799"/>
    </row>
    <row r="342" spans="1:10" s="761" customFormat="1" hidden="1" x14ac:dyDescent="0.25">
      <c r="A342" s="422" t="s">
        <v>165</v>
      </c>
      <c r="B342" s="423" t="s">
        <v>340</v>
      </c>
      <c r="C342" s="424">
        <f t="shared" ref="C342:F343" si="127">C343</f>
        <v>0</v>
      </c>
      <c r="D342" s="424">
        <f t="shared" si="127"/>
        <v>0</v>
      </c>
      <c r="E342" s="424">
        <f t="shared" si="127"/>
        <v>0</v>
      </c>
      <c r="F342" s="424">
        <f t="shared" si="127"/>
        <v>0</v>
      </c>
      <c r="G342" s="685"/>
      <c r="H342" s="685" t="e">
        <f t="shared" si="117"/>
        <v>#DIV/0!</v>
      </c>
      <c r="I342" s="830"/>
    </row>
    <row r="343" spans="1:10" s="761" customFormat="1" hidden="1" x14ac:dyDescent="0.25">
      <c r="A343" s="422" t="s">
        <v>333</v>
      </c>
      <c r="B343" s="423" t="s">
        <v>169</v>
      </c>
      <c r="C343" s="424">
        <f t="shared" si="127"/>
        <v>0</v>
      </c>
      <c r="D343" s="424">
        <f t="shared" si="127"/>
        <v>0</v>
      </c>
      <c r="E343" s="424">
        <f t="shared" si="127"/>
        <v>0</v>
      </c>
      <c r="F343" s="424">
        <f t="shared" si="127"/>
        <v>0</v>
      </c>
      <c r="G343" s="685" t="e">
        <f t="shared" ref="G343" si="128">F343/D343*100</f>
        <v>#DIV/0!</v>
      </c>
      <c r="H343" s="685" t="e">
        <f t="shared" si="117"/>
        <v>#DIV/0!</v>
      </c>
      <c r="I343" s="830"/>
    </row>
    <row r="344" spans="1:10" hidden="1" x14ac:dyDescent="0.25">
      <c r="A344" s="425" t="s">
        <v>349</v>
      </c>
      <c r="B344" s="426" t="s">
        <v>350</v>
      </c>
      <c r="C344" s="429"/>
      <c r="D344" s="429"/>
      <c r="E344" s="429"/>
      <c r="F344" s="429"/>
      <c r="G344" s="685"/>
      <c r="H344" s="685" t="e">
        <f t="shared" si="117"/>
        <v>#DIV/0!</v>
      </c>
    </row>
    <row r="345" spans="1:10" hidden="1" x14ac:dyDescent="0.25">
      <c r="A345" s="464" t="s">
        <v>341</v>
      </c>
      <c r="B345" s="446" t="s">
        <v>174</v>
      </c>
      <c r="C345" s="447">
        <f>C346+C350</f>
        <v>0</v>
      </c>
      <c r="D345" s="447">
        <f>D346+D350</f>
        <v>0</v>
      </c>
      <c r="E345" s="447">
        <f>E346+E350</f>
        <v>0</v>
      </c>
      <c r="F345" s="447">
        <f>F346+F350</f>
        <v>0</v>
      </c>
      <c r="G345" s="687" t="e">
        <f t="shared" si="95"/>
        <v>#DIV/0!</v>
      </c>
      <c r="H345" s="687" t="e">
        <f t="shared" si="105"/>
        <v>#DIV/0!</v>
      </c>
    </row>
    <row r="346" spans="1:10" hidden="1" x14ac:dyDescent="0.25">
      <c r="A346" s="459" t="s">
        <v>344</v>
      </c>
      <c r="B346" s="420" t="s">
        <v>183</v>
      </c>
      <c r="C346" s="421">
        <f>C347</f>
        <v>0</v>
      </c>
      <c r="D346" s="421">
        <f>D347</f>
        <v>0</v>
      </c>
      <c r="E346" s="421">
        <f>E347</f>
        <v>0</v>
      </c>
      <c r="F346" s="421">
        <f t="shared" ref="F346" si="129">F347</f>
        <v>0</v>
      </c>
      <c r="G346" s="684" t="e">
        <f t="shared" si="95"/>
        <v>#DIV/0!</v>
      </c>
      <c r="H346" s="684" t="e">
        <f t="shared" si="105"/>
        <v>#DIV/0!</v>
      </c>
    </row>
    <row r="347" spans="1:10" hidden="1" x14ac:dyDescent="0.25">
      <c r="A347" s="422">
        <v>422</v>
      </c>
      <c r="B347" s="443" t="s">
        <v>184</v>
      </c>
      <c r="C347" s="424">
        <f>C348+C349</f>
        <v>0</v>
      </c>
      <c r="D347" s="424">
        <f>D348+D349</f>
        <v>0</v>
      </c>
      <c r="E347" s="424">
        <f t="shared" ref="E347:F347" si="130">E348+E349</f>
        <v>0</v>
      </c>
      <c r="F347" s="424">
        <f t="shared" si="130"/>
        <v>0</v>
      </c>
      <c r="G347" s="685" t="e">
        <f t="shared" si="95"/>
        <v>#DIV/0!</v>
      </c>
      <c r="H347" s="685" t="e">
        <f t="shared" si="105"/>
        <v>#DIV/0!</v>
      </c>
    </row>
    <row r="348" spans="1:10" s="767" customFormat="1" hidden="1" x14ac:dyDescent="0.25">
      <c r="A348" s="425" t="s">
        <v>229</v>
      </c>
      <c r="B348" s="444" t="s">
        <v>190</v>
      </c>
      <c r="C348" s="429"/>
      <c r="D348" s="429"/>
      <c r="E348" s="429"/>
      <c r="F348" s="429"/>
      <c r="G348" s="685" t="e">
        <f t="shared" si="95"/>
        <v>#DIV/0!</v>
      </c>
      <c r="H348" s="685" t="e">
        <f t="shared" si="105"/>
        <v>#DIV/0!</v>
      </c>
      <c r="I348" s="829"/>
    </row>
    <row r="349" spans="1:10" s="767" customFormat="1" hidden="1" x14ac:dyDescent="0.25">
      <c r="A349" s="425" t="s">
        <v>345</v>
      </c>
      <c r="B349" s="444" t="s">
        <v>192</v>
      </c>
      <c r="C349" s="429"/>
      <c r="D349" s="429"/>
      <c r="E349" s="429"/>
      <c r="F349" s="429"/>
      <c r="G349" s="685" t="e">
        <f t="shared" si="95"/>
        <v>#DIV/0!</v>
      </c>
      <c r="H349" s="685" t="e">
        <f t="shared" si="105"/>
        <v>#DIV/0!</v>
      </c>
      <c r="I349" s="829"/>
    </row>
    <row r="350" spans="1:10" s="764" customFormat="1" hidden="1" x14ac:dyDescent="0.25">
      <c r="A350" s="419" t="s">
        <v>196</v>
      </c>
      <c r="B350" s="448" t="s">
        <v>197</v>
      </c>
      <c r="C350" s="421">
        <f>C351</f>
        <v>0</v>
      </c>
      <c r="D350" s="421">
        <f>D351</f>
        <v>0</v>
      </c>
      <c r="E350" s="421">
        <f>E351</f>
        <v>0</v>
      </c>
      <c r="F350" s="421">
        <f t="shared" ref="F350" si="131">F351</f>
        <v>0</v>
      </c>
      <c r="G350" s="684" t="e">
        <f t="shared" si="95"/>
        <v>#DIV/0!</v>
      </c>
      <c r="H350" s="684" t="e">
        <f t="shared" si="105"/>
        <v>#DIV/0!</v>
      </c>
      <c r="I350" s="837"/>
    </row>
    <row r="351" spans="1:10" hidden="1" x14ac:dyDescent="0.25">
      <c r="A351" s="422" t="s">
        <v>198</v>
      </c>
      <c r="B351" s="423" t="s">
        <v>199</v>
      </c>
      <c r="C351" s="424"/>
      <c r="D351" s="424"/>
      <c r="E351" s="424"/>
      <c r="F351" s="424"/>
      <c r="G351" s="685" t="e">
        <f t="shared" si="95"/>
        <v>#DIV/0!</v>
      </c>
      <c r="H351" s="685" t="e">
        <f t="shared" si="105"/>
        <v>#DIV/0!</v>
      </c>
    </row>
    <row r="352" spans="1:10" s="767" customFormat="1" hidden="1" x14ac:dyDescent="0.25">
      <c r="A352" s="425" t="s">
        <v>200</v>
      </c>
      <c r="B352" s="426" t="s">
        <v>199</v>
      </c>
      <c r="C352" s="429"/>
      <c r="D352" s="429"/>
      <c r="E352" s="429"/>
      <c r="F352" s="429"/>
      <c r="G352" s="685" t="e">
        <f t="shared" si="95"/>
        <v>#DIV/0!</v>
      </c>
      <c r="H352" s="685" t="e">
        <f t="shared" si="105"/>
        <v>#DIV/0!</v>
      </c>
      <c r="I352" s="829"/>
    </row>
    <row r="353" spans="1:9" s="764" customFormat="1" hidden="1" x14ac:dyDescent="0.25">
      <c r="A353" s="454">
        <v>52</v>
      </c>
      <c r="B353" s="455" t="s">
        <v>227</v>
      </c>
      <c r="C353" s="688"/>
      <c r="D353" s="688"/>
      <c r="E353" s="688"/>
      <c r="F353" s="688"/>
      <c r="G353" s="685" t="e">
        <f t="shared" si="95"/>
        <v>#DIV/0!</v>
      </c>
      <c r="H353" s="685" t="e">
        <f t="shared" si="105"/>
        <v>#DIV/0!</v>
      </c>
      <c r="I353" s="837"/>
    </row>
    <row r="354" spans="1:9" s="764" customFormat="1" hidden="1" x14ac:dyDescent="0.25">
      <c r="A354" s="457" t="s">
        <v>86</v>
      </c>
      <c r="B354" s="446" t="s">
        <v>87</v>
      </c>
      <c r="C354" s="447"/>
      <c r="D354" s="447"/>
      <c r="E354" s="447"/>
      <c r="F354" s="447"/>
      <c r="G354" s="685" t="e">
        <f t="shared" si="95"/>
        <v>#DIV/0!</v>
      </c>
      <c r="H354" s="685" t="e">
        <f t="shared" si="105"/>
        <v>#DIV/0!</v>
      </c>
      <c r="I354" s="837"/>
    </row>
    <row r="355" spans="1:9" s="764" customFormat="1" hidden="1" x14ac:dyDescent="0.25">
      <c r="A355" s="419">
        <v>31</v>
      </c>
      <c r="B355" s="420" t="s">
        <v>88</v>
      </c>
      <c r="C355" s="421"/>
      <c r="D355" s="421"/>
      <c r="E355" s="421"/>
      <c r="F355" s="421"/>
      <c r="G355" s="685" t="e">
        <f t="shared" si="95"/>
        <v>#DIV/0!</v>
      </c>
      <c r="H355" s="685" t="e">
        <f t="shared" si="105"/>
        <v>#DIV/0!</v>
      </c>
      <c r="I355" s="837"/>
    </row>
    <row r="356" spans="1:9" s="764" customFormat="1" hidden="1" x14ac:dyDescent="0.25">
      <c r="A356" s="422">
        <v>311</v>
      </c>
      <c r="B356" s="423" t="s">
        <v>89</v>
      </c>
      <c r="C356" s="424"/>
      <c r="D356" s="424"/>
      <c r="E356" s="424"/>
      <c r="F356" s="424"/>
      <c r="G356" s="685" t="e">
        <f t="shared" si="95"/>
        <v>#DIV/0!</v>
      </c>
      <c r="H356" s="685" t="e">
        <f t="shared" si="105"/>
        <v>#DIV/0!</v>
      </c>
      <c r="I356" s="837"/>
    </row>
    <row r="357" spans="1:9" hidden="1" x14ac:dyDescent="0.25">
      <c r="A357" s="425">
        <v>3111</v>
      </c>
      <c r="B357" s="426" t="s">
        <v>90</v>
      </c>
      <c r="C357" s="429"/>
      <c r="D357" s="429"/>
      <c r="E357" s="429"/>
      <c r="F357" s="429"/>
      <c r="G357" s="685" t="e">
        <f t="shared" si="95"/>
        <v>#DIV/0!</v>
      </c>
      <c r="H357" s="685" t="e">
        <f t="shared" si="105"/>
        <v>#DIV/0!</v>
      </c>
    </row>
    <row r="358" spans="1:9" s="764" customFormat="1" hidden="1" x14ac:dyDescent="0.25">
      <c r="A358" s="422" t="s">
        <v>212</v>
      </c>
      <c r="B358" s="423" t="s">
        <v>100</v>
      </c>
      <c r="C358" s="424"/>
      <c r="D358" s="424"/>
      <c r="E358" s="424"/>
      <c r="F358" s="424"/>
      <c r="G358" s="685" t="e">
        <f t="shared" si="95"/>
        <v>#DIV/0!</v>
      </c>
      <c r="H358" s="685" t="e">
        <f t="shared" si="105"/>
        <v>#DIV/0!</v>
      </c>
      <c r="I358" s="837"/>
    </row>
    <row r="359" spans="1:9" hidden="1" x14ac:dyDescent="0.25">
      <c r="A359" s="425" t="s">
        <v>213</v>
      </c>
      <c r="B359" s="426" t="s">
        <v>101</v>
      </c>
      <c r="C359" s="429"/>
      <c r="D359" s="429"/>
      <c r="E359" s="429"/>
      <c r="F359" s="429"/>
      <c r="G359" s="685" t="e">
        <f t="shared" si="95"/>
        <v>#DIV/0!</v>
      </c>
      <c r="H359" s="685" t="e">
        <f t="shared" si="105"/>
        <v>#DIV/0!</v>
      </c>
    </row>
    <row r="360" spans="1:9" s="781" customFormat="1" ht="15" x14ac:dyDescent="0.25">
      <c r="A360" s="454" t="s">
        <v>71</v>
      </c>
      <c r="B360" s="455" t="s">
        <v>72</v>
      </c>
      <c r="C360" s="688">
        <f>C361+C370</f>
        <v>3807.25</v>
      </c>
      <c r="D360" s="688">
        <f>D361+D370</f>
        <v>1000</v>
      </c>
      <c r="E360" s="688">
        <f>E361+E370</f>
        <v>1000</v>
      </c>
      <c r="F360" s="688">
        <f>F361+F370</f>
        <v>0</v>
      </c>
      <c r="G360" s="689">
        <f t="shared" si="95"/>
        <v>0</v>
      </c>
      <c r="H360" s="689">
        <f t="shared" si="105"/>
        <v>0</v>
      </c>
      <c r="I360" s="848"/>
    </row>
    <row r="361" spans="1:9" s="764" customFormat="1" x14ac:dyDescent="0.25">
      <c r="A361" s="457" t="s">
        <v>86</v>
      </c>
      <c r="B361" s="446" t="s">
        <v>87</v>
      </c>
      <c r="C361" s="447">
        <f>C362</f>
        <v>3807.25</v>
      </c>
      <c r="D361" s="447">
        <f>D362</f>
        <v>1000</v>
      </c>
      <c r="E361" s="447">
        <f>E362</f>
        <v>1000</v>
      </c>
      <c r="F361" s="447">
        <f t="shared" ref="F361" si="132">F362</f>
        <v>0</v>
      </c>
      <c r="G361" s="687">
        <f t="shared" si="95"/>
        <v>0</v>
      </c>
      <c r="H361" s="687">
        <f t="shared" si="105"/>
        <v>0</v>
      </c>
      <c r="I361" s="837"/>
    </row>
    <row r="362" spans="1:9" s="764" customFormat="1" x14ac:dyDescent="0.25">
      <c r="A362" s="419">
        <v>32</v>
      </c>
      <c r="B362" s="420" t="s">
        <v>102</v>
      </c>
      <c r="C362" s="421">
        <f>C363+C368</f>
        <v>3807.25</v>
      </c>
      <c r="D362" s="421">
        <f>D363+D368</f>
        <v>1000</v>
      </c>
      <c r="E362" s="421">
        <f>E363+E368</f>
        <v>1000</v>
      </c>
      <c r="F362" s="421">
        <f>F363+F368</f>
        <v>0</v>
      </c>
      <c r="G362" s="684">
        <f t="shared" si="95"/>
        <v>0</v>
      </c>
      <c r="H362" s="684">
        <f t="shared" si="105"/>
        <v>0</v>
      </c>
      <c r="I362" s="837"/>
    </row>
    <row r="363" spans="1:9" s="760" customFormat="1" x14ac:dyDescent="0.25">
      <c r="A363" s="422">
        <v>321</v>
      </c>
      <c r="B363" s="423" t="s">
        <v>103</v>
      </c>
      <c r="C363" s="424">
        <f>C364+C367</f>
        <v>3807.25</v>
      </c>
      <c r="D363" s="424">
        <f>D364+D367</f>
        <v>1000</v>
      </c>
      <c r="E363" s="424">
        <f>E364+E367</f>
        <v>1000</v>
      </c>
      <c r="F363" s="424">
        <f>F364+F367</f>
        <v>0</v>
      </c>
      <c r="G363" s="685">
        <f t="shared" ref="G363:G462" si="133">F363/D363*100</f>
        <v>0</v>
      </c>
      <c r="H363" s="685">
        <f t="shared" si="105"/>
        <v>0</v>
      </c>
      <c r="I363" s="834"/>
    </row>
    <row r="364" spans="1:9" s="760" customFormat="1" x14ac:dyDescent="0.25">
      <c r="A364" s="422" t="s">
        <v>104</v>
      </c>
      <c r="B364" s="423" t="s">
        <v>105</v>
      </c>
      <c r="C364" s="424">
        <f>SUM(C365:C366)</f>
        <v>3807.25</v>
      </c>
      <c r="D364" s="424">
        <f>SUM(D365:D366)</f>
        <v>1000</v>
      </c>
      <c r="E364" s="424">
        <f>SUM(E365:E366)</f>
        <v>1000</v>
      </c>
      <c r="F364" s="424">
        <f t="shared" ref="F364" si="134">SUM(F365:F366)</f>
        <v>0</v>
      </c>
      <c r="G364" s="685">
        <f t="shared" si="133"/>
        <v>0</v>
      </c>
      <c r="H364" s="685">
        <f t="shared" si="105"/>
        <v>0</v>
      </c>
      <c r="I364" s="834"/>
    </row>
    <row r="365" spans="1:9" s="760" customFormat="1" x14ac:dyDescent="0.25">
      <c r="A365" s="468" t="s">
        <v>508</v>
      </c>
      <c r="B365" s="476" t="s">
        <v>388</v>
      </c>
      <c r="C365" s="870">
        <v>2814.35</v>
      </c>
      <c r="D365" s="429">
        <v>500</v>
      </c>
      <c r="E365" s="429">
        <v>500</v>
      </c>
      <c r="F365" s="429"/>
      <c r="G365" s="685">
        <f t="shared" si="133"/>
        <v>0</v>
      </c>
      <c r="H365" s="685">
        <f>F365/E365*100</f>
        <v>0</v>
      </c>
      <c r="I365" s="834"/>
    </row>
    <row r="366" spans="1:9" s="766" customFormat="1" x14ac:dyDescent="0.25">
      <c r="A366" s="425" t="s">
        <v>497</v>
      </c>
      <c r="B366" s="426" t="s">
        <v>391</v>
      </c>
      <c r="C366" s="429">
        <v>992.9</v>
      </c>
      <c r="D366" s="429">
        <v>500</v>
      </c>
      <c r="E366" s="429">
        <v>500</v>
      </c>
      <c r="F366" s="429"/>
      <c r="G366" s="685">
        <f t="shared" si="133"/>
        <v>0</v>
      </c>
      <c r="H366" s="685">
        <f t="shared" ref="H366:H464" si="135">F366/E366*100</f>
        <v>0</v>
      </c>
      <c r="I366" s="838"/>
    </row>
    <row r="367" spans="1:9" x14ac:dyDescent="0.25">
      <c r="A367" s="463" t="s">
        <v>108</v>
      </c>
      <c r="B367" s="466" t="s">
        <v>109</v>
      </c>
      <c r="C367" s="424"/>
      <c r="D367" s="424"/>
      <c r="E367" s="424"/>
      <c r="F367" s="424"/>
      <c r="G367" s="685" t="e">
        <f t="shared" si="133"/>
        <v>#DIV/0!</v>
      </c>
      <c r="H367" s="685" t="e">
        <f t="shared" si="135"/>
        <v>#DIV/0!</v>
      </c>
    </row>
    <row r="368" spans="1:9" s="764" customFormat="1" x14ac:dyDescent="0.25">
      <c r="A368" s="422" t="s">
        <v>112</v>
      </c>
      <c r="B368" s="423" t="s">
        <v>113</v>
      </c>
      <c r="C368" s="424">
        <f>C369</f>
        <v>0</v>
      </c>
      <c r="D368" s="424">
        <f>D369</f>
        <v>0</v>
      </c>
      <c r="E368" s="424">
        <f>E369</f>
        <v>0</v>
      </c>
      <c r="F368" s="424">
        <f t="shared" ref="F368" si="136">F369</f>
        <v>0</v>
      </c>
      <c r="G368" s="685" t="e">
        <f t="shared" si="133"/>
        <v>#DIV/0!</v>
      </c>
      <c r="H368" s="685" t="e">
        <f t="shared" si="135"/>
        <v>#DIV/0!</v>
      </c>
      <c r="I368" s="837"/>
    </row>
    <row r="369" spans="1:9" x14ac:dyDescent="0.25">
      <c r="A369" s="463" t="s">
        <v>116</v>
      </c>
      <c r="B369" s="466" t="s">
        <v>117</v>
      </c>
      <c r="C369" s="424"/>
      <c r="D369" s="424"/>
      <c r="E369" s="424"/>
      <c r="F369" s="424"/>
      <c r="G369" s="685" t="e">
        <f t="shared" si="133"/>
        <v>#DIV/0!</v>
      </c>
      <c r="H369" s="685" t="e">
        <f t="shared" si="135"/>
        <v>#DIV/0!</v>
      </c>
    </row>
    <row r="370" spans="1:9" x14ac:dyDescent="0.25">
      <c r="A370" s="464" t="s">
        <v>341</v>
      </c>
      <c r="B370" s="446" t="s">
        <v>174</v>
      </c>
      <c r="C370" s="447">
        <f t="shared" ref="C370:F371" si="137">C371</f>
        <v>0</v>
      </c>
      <c r="D370" s="447">
        <f t="shared" si="137"/>
        <v>0</v>
      </c>
      <c r="E370" s="447">
        <f t="shared" si="137"/>
        <v>0</v>
      </c>
      <c r="F370" s="447">
        <f t="shared" si="137"/>
        <v>0</v>
      </c>
      <c r="G370" s="447" t="e">
        <f t="shared" si="133"/>
        <v>#DIV/0!</v>
      </c>
      <c r="H370" s="447" t="e">
        <f t="shared" si="135"/>
        <v>#DIV/0!</v>
      </c>
    </row>
    <row r="371" spans="1:9" s="764" customFormat="1" x14ac:dyDescent="0.25">
      <c r="A371" s="419">
        <v>42</v>
      </c>
      <c r="B371" s="420" t="s">
        <v>183</v>
      </c>
      <c r="C371" s="421">
        <f t="shared" si="137"/>
        <v>0</v>
      </c>
      <c r="D371" s="421">
        <f t="shared" si="137"/>
        <v>0</v>
      </c>
      <c r="E371" s="421">
        <f t="shared" si="137"/>
        <v>0</v>
      </c>
      <c r="F371" s="421">
        <f t="shared" si="137"/>
        <v>0</v>
      </c>
      <c r="G371" s="421" t="e">
        <f t="shared" si="133"/>
        <v>#DIV/0!</v>
      </c>
      <c r="H371" s="421" t="e">
        <f t="shared" si="135"/>
        <v>#DIV/0!</v>
      </c>
      <c r="I371" s="837"/>
    </row>
    <row r="372" spans="1:9" s="764" customFormat="1" x14ac:dyDescent="0.25">
      <c r="A372" s="422">
        <v>422</v>
      </c>
      <c r="B372" s="423" t="s">
        <v>184</v>
      </c>
      <c r="C372" s="424">
        <f>SUM(C373:C375)</f>
        <v>0</v>
      </c>
      <c r="D372" s="424">
        <f>SUM(D373:D375)</f>
        <v>0</v>
      </c>
      <c r="E372" s="424">
        <f>SUM(E373:E375)</f>
        <v>0</v>
      </c>
      <c r="F372" s="424">
        <f t="shared" ref="F372" si="138">SUM(F373:F375)</f>
        <v>0</v>
      </c>
      <c r="G372" s="685" t="e">
        <f t="shared" si="133"/>
        <v>#DIV/0!</v>
      </c>
      <c r="H372" s="685" t="e">
        <f t="shared" si="135"/>
        <v>#DIV/0!</v>
      </c>
      <c r="I372" s="837"/>
    </row>
    <row r="373" spans="1:9" s="766" customFormat="1" x14ac:dyDescent="0.25">
      <c r="A373" s="425" t="s">
        <v>185</v>
      </c>
      <c r="B373" s="426" t="s">
        <v>186</v>
      </c>
      <c r="C373" s="429"/>
      <c r="D373" s="429"/>
      <c r="E373" s="429"/>
      <c r="F373" s="429"/>
      <c r="G373" s="685" t="e">
        <f t="shared" si="133"/>
        <v>#DIV/0!</v>
      </c>
      <c r="H373" s="685" t="e">
        <f t="shared" si="135"/>
        <v>#DIV/0!</v>
      </c>
      <c r="I373" s="838"/>
    </row>
    <row r="374" spans="1:9" x14ac:dyDescent="0.25">
      <c r="A374" s="425" t="s">
        <v>229</v>
      </c>
      <c r="B374" s="426" t="s">
        <v>190</v>
      </c>
      <c r="C374" s="429"/>
      <c r="D374" s="429"/>
      <c r="E374" s="429"/>
      <c r="F374" s="429"/>
      <c r="G374" s="685" t="e">
        <f t="shared" si="133"/>
        <v>#DIV/0!</v>
      </c>
      <c r="H374" s="685" t="e">
        <f t="shared" si="135"/>
        <v>#DIV/0!</v>
      </c>
    </row>
    <row r="375" spans="1:9" x14ac:dyDescent="0.25">
      <c r="A375" s="425" t="s">
        <v>230</v>
      </c>
      <c r="B375" s="426" t="s">
        <v>191</v>
      </c>
      <c r="C375" s="429"/>
      <c r="D375" s="429"/>
      <c r="E375" s="429"/>
      <c r="F375" s="429"/>
      <c r="G375" s="685" t="e">
        <f t="shared" si="133"/>
        <v>#DIV/0!</v>
      </c>
      <c r="H375" s="685" t="e">
        <f t="shared" si="135"/>
        <v>#DIV/0!</v>
      </c>
    </row>
    <row r="376" spans="1:9" s="782" customFormat="1" ht="30" x14ac:dyDescent="0.25">
      <c r="A376" s="454" t="s">
        <v>234</v>
      </c>
      <c r="B376" s="465" t="s">
        <v>235</v>
      </c>
      <c r="C376" s="688">
        <f>C377+C387</f>
        <v>3788.17</v>
      </c>
      <c r="D376" s="688">
        <f>D377+D387</f>
        <v>5500</v>
      </c>
      <c r="E376" s="688">
        <f>E377+E387</f>
        <v>5500</v>
      </c>
      <c r="F376" s="688">
        <f t="shared" ref="F376" si="139">F377+F387</f>
        <v>1950.28</v>
      </c>
      <c r="G376" s="689">
        <f t="shared" si="133"/>
        <v>35.459636363636363</v>
      </c>
      <c r="H376" s="689">
        <f t="shared" si="135"/>
        <v>35.459636363636363</v>
      </c>
      <c r="I376" s="849"/>
    </row>
    <row r="377" spans="1:9" s="764" customFormat="1" x14ac:dyDescent="0.25">
      <c r="A377" s="457" t="s">
        <v>86</v>
      </c>
      <c r="B377" s="446" t="s">
        <v>87</v>
      </c>
      <c r="C377" s="447">
        <f t="shared" ref="C377:F377" si="140">C378</f>
        <v>0</v>
      </c>
      <c r="D377" s="447">
        <f t="shared" si="140"/>
        <v>0</v>
      </c>
      <c r="E377" s="447">
        <f t="shared" si="140"/>
        <v>0</v>
      </c>
      <c r="F377" s="447">
        <f t="shared" si="140"/>
        <v>1950.28</v>
      </c>
      <c r="G377" s="687" t="e">
        <f t="shared" si="133"/>
        <v>#DIV/0!</v>
      </c>
      <c r="H377" s="687" t="e">
        <f t="shared" si="135"/>
        <v>#DIV/0!</v>
      </c>
      <c r="I377" s="837"/>
    </row>
    <row r="378" spans="1:9" s="764" customFormat="1" x14ac:dyDescent="0.25">
      <c r="A378" s="419">
        <v>32</v>
      </c>
      <c r="B378" s="420" t="s">
        <v>102</v>
      </c>
      <c r="C378" s="421">
        <f t="shared" ref="C378" si="141">C379+C382+C384</f>
        <v>0</v>
      </c>
      <c r="D378" s="421">
        <f t="shared" ref="D378:E378" si="142">D379+D382+D384</f>
        <v>0</v>
      </c>
      <c r="E378" s="421">
        <f t="shared" si="142"/>
        <v>0</v>
      </c>
      <c r="F378" s="421">
        <f>F379+F382+F384</f>
        <v>1950.28</v>
      </c>
      <c r="G378" s="684" t="e">
        <f t="shared" si="133"/>
        <v>#DIV/0!</v>
      </c>
      <c r="H378" s="684" t="e">
        <f t="shared" si="135"/>
        <v>#DIV/0!</v>
      </c>
      <c r="I378" s="837"/>
    </row>
    <row r="379" spans="1:9" s="764" customFormat="1" hidden="1" x14ac:dyDescent="0.25">
      <c r="A379" s="422" t="s">
        <v>112</v>
      </c>
      <c r="B379" s="443" t="s">
        <v>113</v>
      </c>
      <c r="C379" s="424">
        <f>C380+C381</f>
        <v>0</v>
      </c>
      <c r="D379" s="424">
        <f>D380+D381</f>
        <v>0</v>
      </c>
      <c r="E379" s="424">
        <f>E380+E381</f>
        <v>0</v>
      </c>
      <c r="F379" s="424">
        <f t="shared" ref="F379" si="143">F380+F381</f>
        <v>0</v>
      </c>
      <c r="G379" s="685" t="e">
        <f t="shared" si="133"/>
        <v>#DIV/0!</v>
      </c>
      <c r="H379" s="685" t="e">
        <f t="shared" si="135"/>
        <v>#DIV/0!</v>
      </c>
      <c r="I379" s="837"/>
    </row>
    <row r="380" spans="1:9" hidden="1" x14ac:dyDescent="0.25">
      <c r="A380" s="463" t="s">
        <v>116</v>
      </c>
      <c r="B380" s="530" t="s">
        <v>113</v>
      </c>
      <c r="C380" s="429"/>
      <c r="D380" s="429"/>
      <c r="E380" s="429"/>
      <c r="F380" s="429"/>
      <c r="G380" s="685" t="e">
        <f t="shared" si="133"/>
        <v>#DIV/0!</v>
      </c>
      <c r="H380" s="685" t="e">
        <f t="shared" si="135"/>
        <v>#DIV/0!</v>
      </c>
    </row>
    <row r="381" spans="1:9" hidden="1" x14ac:dyDescent="0.25">
      <c r="A381" s="463" t="s">
        <v>120</v>
      </c>
      <c r="B381" s="530" t="s">
        <v>321</v>
      </c>
      <c r="C381" s="429"/>
      <c r="D381" s="429"/>
      <c r="E381" s="429"/>
      <c r="F381" s="429"/>
      <c r="G381" s="685" t="e">
        <f t="shared" si="133"/>
        <v>#DIV/0!</v>
      </c>
      <c r="H381" s="685" t="e">
        <f t="shared" si="135"/>
        <v>#DIV/0!</v>
      </c>
    </row>
    <row r="382" spans="1:9" s="764" customFormat="1" hidden="1" x14ac:dyDescent="0.25">
      <c r="A382" s="422" t="s">
        <v>126</v>
      </c>
      <c r="B382" s="423" t="s">
        <v>127</v>
      </c>
      <c r="C382" s="424">
        <f>C383</f>
        <v>0</v>
      </c>
      <c r="D382" s="424">
        <f>D383</f>
        <v>0</v>
      </c>
      <c r="E382" s="424">
        <f>E383</f>
        <v>0</v>
      </c>
      <c r="F382" s="424">
        <f t="shared" ref="F382" si="144">F383</f>
        <v>0</v>
      </c>
      <c r="G382" s="685" t="e">
        <f t="shared" si="133"/>
        <v>#DIV/0!</v>
      </c>
      <c r="H382" s="685" t="e">
        <f t="shared" si="135"/>
        <v>#DIV/0!</v>
      </c>
      <c r="I382" s="837"/>
    </row>
    <row r="383" spans="1:9" hidden="1" x14ac:dyDescent="0.25">
      <c r="A383" s="425" t="s">
        <v>130</v>
      </c>
      <c r="B383" s="426" t="s">
        <v>131</v>
      </c>
      <c r="C383" s="429"/>
      <c r="D383" s="429"/>
      <c r="E383" s="429"/>
      <c r="F383" s="429"/>
      <c r="G383" s="685" t="e">
        <f t="shared" si="133"/>
        <v>#DIV/0!</v>
      </c>
      <c r="H383" s="685" t="e">
        <f t="shared" si="135"/>
        <v>#DIV/0!</v>
      </c>
    </row>
    <row r="384" spans="1:9" s="761" customFormat="1" x14ac:dyDescent="0.25">
      <c r="A384" s="463" t="s">
        <v>219</v>
      </c>
      <c r="B384" s="466" t="s">
        <v>220</v>
      </c>
      <c r="C384" s="424">
        <f t="shared" ref="C384:E385" si="145">C385</f>
        <v>0</v>
      </c>
      <c r="D384" s="424">
        <f t="shared" si="145"/>
        <v>0</v>
      </c>
      <c r="E384" s="424">
        <f t="shared" si="145"/>
        <v>0</v>
      </c>
      <c r="F384" s="424">
        <f>F385</f>
        <v>1950.28</v>
      </c>
      <c r="G384" s="685" t="e">
        <f t="shared" si="133"/>
        <v>#DIV/0!</v>
      </c>
      <c r="H384" s="685" t="e">
        <f t="shared" si="135"/>
        <v>#DIV/0!</v>
      </c>
      <c r="I384" s="830"/>
    </row>
    <row r="385" spans="1:9" s="761" customFormat="1" x14ac:dyDescent="0.25">
      <c r="A385" s="463" t="s">
        <v>231</v>
      </c>
      <c r="B385" s="466" t="s">
        <v>147</v>
      </c>
      <c r="C385" s="424">
        <f t="shared" si="145"/>
        <v>0</v>
      </c>
      <c r="D385" s="424">
        <f t="shared" si="145"/>
        <v>0</v>
      </c>
      <c r="E385" s="424">
        <f t="shared" si="145"/>
        <v>0</v>
      </c>
      <c r="F385" s="424">
        <f>F386</f>
        <v>1950.28</v>
      </c>
      <c r="G385" s="685" t="e">
        <f t="shared" ref="G385" si="146">F385/D385*100</f>
        <v>#DIV/0!</v>
      </c>
      <c r="H385" s="685" t="e">
        <f t="shared" ref="H385" si="147">F385/E385*100</f>
        <v>#DIV/0!</v>
      </c>
      <c r="I385" s="830"/>
    </row>
    <row r="386" spans="1:9" x14ac:dyDescent="0.25">
      <c r="A386" s="425" t="s">
        <v>503</v>
      </c>
      <c r="B386" s="426" t="s">
        <v>504</v>
      </c>
      <c r="C386" s="429"/>
      <c r="D386" s="429"/>
      <c r="E386" s="429"/>
      <c r="F386" s="429">
        <v>1950.28</v>
      </c>
      <c r="G386" s="685" t="e">
        <f t="shared" si="133"/>
        <v>#DIV/0!</v>
      </c>
      <c r="H386" s="685" t="e">
        <f t="shared" si="135"/>
        <v>#DIV/0!</v>
      </c>
      <c r="I386" s="831">
        <f>800+1150.28</f>
        <v>1950.28</v>
      </c>
    </row>
    <row r="387" spans="1:9" s="764" customFormat="1" x14ac:dyDescent="0.25">
      <c r="A387" s="467" t="s">
        <v>341</v>
      </c>
      <c r="B387" s="446" t="s">
        <v>174</v>
      </c>
      <c r="C387" s="447">
        <f>C388</f>
        <v>3788.17</v>
      </c>
      <c r="D387" s="447">
        <f>D388</f>
        <v>5500</v>
      </c>
      <c r="E387" s="447">
        <f>E388</f>
        <v>5500</v>
      </c>
      <c r="F387" s="447">
        <f t="shared" ref="F387" si="148">F388</f>
        <v>0</v>
      </c>
      <c r="G387" s="687">
        <f t="shared" si="133"/>
        <v>0</v>
      </c>
      <c r="H387" s="687">
        <f t="shared" si="135"/>
        <v>0</v>
      </c>
      <c r="I387" s="837"/>
    </row>
    <row r="388" spans="1:9" s="760" customFormat="1" x14ac:dyDescent="0.25">
      <c r="A388" s="419">
        <v>42</v>
      </c>
      <c r="B388" s="420" t="s">
        <v>183</v>
      </c>
      <c r="C388" s="421">
        <f>C391+C389</f>
        <v>3788.17</v>
      </c>
      <c r="D388" s="421">
        <f>D391+D389</f>
        <v>5500</v>
      </c>
      <c r="E388" s="421">
        <f>E391+E389</f>
        <v>5500</v>
      </c>
      <c r="F388" s="421">
        <f t="shared" ref="F388" si="149">F391+F389</f>
        <v>0</v>
      </c>
      <c r="G388" s="684">
        <f t="shared" si="133"/>
        <v>0</v>
      </c>
      <c r="H388" s="684">
        <f t="shared" si="135"/>
        <v>0</v>
      </c>
      <c r="I388" s="834"/>
    </row>
    <row r="389" spans="1:9" s="760" customFormat="1" hidden="1" x14ac:dyDescent="0.25">
      <c r="A389" s="422" t="s">
        <v>206</v>
      </c>
      <c r="B389" s="423" t="s">
        <v>207</v>
      </c>
      <c r="C389" s="424">
        <f>C390</f>
        <v>0</v>
      </c>
      <c r="D389" s="424">
        <f>D390</f>
        <v>0</v>
      </c>
      <c r="E389" s="424">
        <f>E390</f>
        <v>0</v>
      </c>
      <c r="F389" s="424">
        <f t="shared" ref="F389" si="150">F390</f>
        <v>0</v>
      </c>
      <c r="G389" s="685" t="e">
        <f t="shared" si="133"/>
        <v>#DIV/0!</v>
      </c>
      <c r="H389" s="685" t="e">
        <f t="shared" si="135"/>
        <v>#DIV/0!</v>
      </c>
      <c r="I389" s="834"/>
    </row>
    <row r="390" spans="1:9" s="776" customFormat="1" hidden="1" x14ac:dyDescent="0.25">
      <c r="A390" s="463" t="s">
        <v>208</v>
      </c>
      <c r="B390" s="466" t="s">
        <v>209</v>
      </c>
      <c r="C390" s="424"/>
      <c r="D390" s="424"/>
      <c r="E390" s="424"/>
      <c r="F390" s="424"/>
      <c r="G390" s="685" t="e">
        <f t="shared" si="133"/>
        <v>#DIV/0!</v>
      </c>
      <c r="H390" s="685" t="e">
        <f t="shared" si="135"/>
        <v>#DIV/0!</v>
      </c>
      <c r="I390" s="850"/>
    </row>
    <row r="391" spans="1:9" s="764" customFormat="1" x14ac:dyDescent="0.25">
      <c r="A391" s="422">
        <v>422</v>
      </c>
      <c r="B391" s="423" t="s">
        <v>184</v>
      </c>
      <c r="C391" s="424">
        <f>SUM(C392:C394)</f>
        <v>3788.17</v>
      </c>
      <c r="D391" s="424">
        <f>SUM(D392:D394)</f>
        <v>5500</v>
      </c>
      <c r="E391" s="424">
        <f>SUM(E392:E394)</f>
        <v>5500</v>
      </c>
      <c r="F391" s="424">
        <f t="shared" ref="F391" si="151">SUM(F392:F394)</f>
        <v>0</v>
      </c>
      <c r="G391" s="685">
        <f t="shared" si="133"/>
        <v>0</v>
      </c>
      <c r="H391" s="685">
        <f t="shared" si="135"/>
        <v>0</v>
      </c>
      <c r="I391" s="837"/>
    </row>
    <row r="392" spans="1:9" s="767" customFormat="1" hidden="1" x14ac:dyDescent="0.25">
      <c r="A392" s="463" t="s">
        <v>185</v>
      </c>
      <c r="B392" s="466" t="s">
        <v>186</v>
      </c>
      <c r="C392" s="424"/>
      <c r="D392" s="424"/>
      <c r="E392" s="424"/>
      <c r="F392" s="424"/>
      <c r="G392" s="685" t="e">
        <f t="shared" si="133"/>
        <v>#DIV/0!</v>
      </c>
      <c r="H392" s="685" t="e">
        <f t="shared" si="135"/>
        <v>#DIV/0!</v>
      </c>
      <c r="I392" s="829"/>
    </row>
    <row r="393" spans="1:9" s="767" customFormat="1" hidden="1" x14ac:dyDescent="0.25">
      <c r="A393" s="463" t="s">
        <v>187</v>
      </c>
      <c r="B393" s="466" t="s">
        <v>188</v>
      </c>
      <c r="C393" s="424"/>
      <c r="D393" s="424"/>
      <c r="E393" s="424"/>
      <c r="F393" s="424"/>
      <c r="G393" s="685" t="e">
        <f t="shared" si="133"/>
        <v>#DIV/0!</v>
      </c>
      <c r="H393" s="685" t="e">
        <f t="shared" si="135"/>
        <v>#DIV/0!</v>
      </c>
      <c r="I393" s="829"/>
    </row>
    <row r="394" spans="1:9" s="767" customFormat="1" x14ac:dyDescent="0.25">
      <c r="A394" s="463" t="s">
        <v>229</v>
      </c>
      <c r="B394" s="466" t="s">
        <v>190</v>
      </c>
      <c r="C394" s="424">
        <f>SUM(C395)</f>
        <v>3788.17</v>
      </c>
      <c r="D394" s="424">
        <f>SUM(D395)</f>
        <v>5500</v>
      </c>
      <c r="E394" s="424">
        <f>SUM(E395)</f>
        <v>5500</v>
      </c>
      <c r="F394" s="424">
        <f t="shared" ref="F394" si="152">SUM(F395)</f>
        <v>0</v>
      </c>
      <c r="G394" s="685">
        <f t="shared" si="133"/>
        <v>0</v>
      </c>
      <c r="H394" s="685">
        <f t="shared" si="135"/>
        <v>0</v>
      </c>
      <c r="I394" s="829"/>
    </row>
    <row r="395" spans="1:9" x14ac:dyDescent="0.25">
      <c r="A395" s="425" t="s">
        <v>505</v>
      </c>
      <c r="B395" s="426" t="s">
        <v>450</v>
      </c>
      <c r="C395" s="429">
        <v>3788.17</v>
      </c>
      <c r="D395" s="429">
        <v>5500</v>
      </c>
      <c r="E395" s="429">
        <v>5500</v>
      </c>
      <c r="F395" s="429"/>
      <c r="G395" s="685">
        <f t="shared" si="133"/>
        <v>0</v>
      </c>
      <c r="H395" s="685">
        <f t="shared" si="135"/>
        <v>0</v>
      </c>
    </row>
    <row r="396" spans="1:9" x14ac:dyDescent="0.25">
      <c r="A396" s="454" t="s">
        <v>352</v>
      </c>
      <c r="B396" s="455" t="s">
        <v>353</v>
      </c>
      <c r="C396" s="688">
        <f>C397+C424</f>
        <v>0</v>
      </c>
      <c r="D396" s="688">
        <f>D397+D424</f>
        <v>0</v>
      </c>
      <c r="E396" s="688">
        <f t="shared" ref="C396:F400" si="153">E397</f>
        <v>0</v>
      </c>
      <c r="F396" s="688">
        <f t="shared" si="153"/>
        <v>40000</v>
      </c>
      <c r="G396" s="689" t="e">
        <f>F396/D396*100</f>
        <v>#DIV/0!</v>
      </c>
      <c r="H396" s="689" t="e">
        <f>F396/E396*100</f>
        <v>#DIV/0!</v>
      </c>
    </row>
    <row r="397" spans="1:9" x14ac:dyDescent="0.25">
      <c r="A397" s="445">
        <v>3</v>
      </c>
      <c r="B397" s="446" t="s">
        <v>87</v>
      </c>
      <c r="C397" s="863">
        <f t="shared" si="153"/>
        <v>0</v>
      </c>
      <c r="D397" s="863">
        <f t="shared" si="153"/>
        <v>0</v>
      </c>
      <c r="E397" s="863">
        <f t="shared" si="153"/>
        <v>0</v>
      </c>
      <c r="F397" s="863">
        <f t="shared" si="153"/>
        <v>40000</v>
      </c>
      <c r="G397" s="446" t="e">
        <f t="shared" si="133"/>
        <v>#DIV/0!</v>
      </c>
      <c r="H397" s="446" t="e">
        <f t="shared" si="135"/>
        <v>#DIV/0!</v>
      </c>
    </row>
    <row r="398" spans="1:9" x14ac:dyDescent="0.25">
      <c r="A398" s="419">
        <v>31</v>
      </c>
      <c r="B398" s="420" t="s">
        <v>88</v>
      </c>
      <c r="C398" s="864">
        <f t="shared" si="153"/>
        <v>0</v>
      </c>
      <c r="D398" s="864">
        <f t="shared" si="153"/>
        <v>0</v>
      </c>
      <c r="E398" s="864">
        <f t="shared" si="153"/>
        <v>0</v>
      </c>
      <c r="F398" s="864">
        <f t="shared" si="153"/>
        <v>40000</v>
      </c>
      <c r="G398" s="420" t="e">
        <f t="shared" si="133"/>
        <v>#DIV/0!</v>
      </c>
      <c r="H398" s="420" t="e">
        <f t="shared" si="135"/>
        <v>#DIV/0!</v>
      </c>
    </row>
    <row r="399" spans="1:9" x14ac:dyDescent="0.25">
      <c r="A399" s="427">
        <v>313</v>
      </c>
      <c r="B399" s="423" t="s">
        <v>100</v>
      </c>
      <c r="C399" s="429"/>
      <c r="D399" s="429"/>
      <c r="E399" s="429">
        <f t="shared" si="153"/>
        <v>0</v>
      </c>
      <c r="F399" s="757">
        <f t="shared" si="153"/>
        <v>40000</v>
      </c>
      <c r="G399" s="685" t="e">
        <f t="shared" si="133"/>
        <v>#DIV/0!</v>
      </c>
      <c r="H399" s="685" t="e">
        <f t="shared" si="135"/>
        <v>#DIV/0!</v>
      </c>
    </row>
    <row r="400" spans="1:9" x14ac:dyDescent="0.25">
      <c r="A400" s="521">
        <v>3132</v>
      </c>
      <c r="B400" s="466" t="s">
        <v>101</v>
      </c>
      <c r="C400" s="429"/>
      <c r="D400" s="429"/>
      <c r="E400" s="429">
        <f t="shared" si="153"/>
        <v>0</v>
      </c>
      <c r="F400" s="757">
        <f t="shared" si="153"/>
        <v>40000</v>
      </c>
      <c r="G400" s="685" t="e">
        <f t="shared" si="133"/>
        <v>#DIV/0!</v>
      </c>
      <c r="H400" s="685" t="e">
        <f t="shared" si="135"/>
        <v>#DIV/0!</v>
      </c>
    </row>
    <row r="401" spans="1:8" x14ac:dyDescent="0.25">
      <c r="A401" s="522" t="s">
        <v>476</v>
      </c>
      <c r="B401" s="476" t="s">
        <v>101</v>
      </c>
      <c r="C401" s="429"/>
      <c r="D401" s="429"/>
      <c r="E401" s="429"/>
      <c r="F401" s="429">
        <v>40000</v>
      </c>
      <c r="G401" s="685" t="e">
        <f t="shared" si="133"/>
        <v>#DIV/0!</v>
      </c>
      <c r="H401" s="685" t="e">
        <f t="shared" si="135"/>
        <v>#DIV/0!</v>
      </c>
    </row>
    <row r="402" spans="1:8" x14ac:dyDescent="0.25">
      <c r="A402" s="454" t="s">
        <v>352</v>
      </c>
      <c r="B402" s="455" t="s">
        <v>353</v>
      </c>
      <c r="C402" s="688">
        <f t="shared" ref="C402:E402" si="154">C403</f>
        <v>0</v>
      </c>
      <c r="D402" s="688">
        <f t="shared" si="154"/>
        <v>0</v>
      </c>
      <c r="E402" s="688">
        <f t="shared" si="154"/>
        <v>0</v>
      </c>
      <c r="F402" s="688">
        <f>F403</f>
        <v>40000</v>
      </c>
      <c r="G402" s="689" t="e">
        <f t="shared" ref="G402" si="155">F402/D402*100</f>
        <v>#DIV/0!</v>
      </c>
      <c r="H402" s="689" t="e">
        <f t="shared" ref="H402:H403" si="156">F402/E402*100</f>
        <v>#DIV/0!</v>
      </c>
    </row>
    <row r="403" spans="1:8" x14ac:dyDescent="0.25">
      <c r="A403" s="467" t="s">
        <v>86</v>
      </c>
      <c r="B403" s="472" t="s">
        <v>87</v>
      </c>
      <c r="C403" s="447">
        <f>C404+C413</f>
        <v>0</v>
      </c>
      <c r="D403" s="447">
        <f>D404+D413</f>
        <v>0</v>
      </c>
      <c r="E403" s="447">
        <f>E404</f>
        <v>0</v>
      </c>
      <c r="F403" s="447">
        <f>F404</f>
        <v>40000</v>
      </c>
      <c r="G403" s="447" t="e">
        <f t="shared" ref="G403" si="157">G404+G413</f>
        <v>#DIV/0!</v>
      </c>
      <c r="H403" s="687" t="e">
        <f t="shared" si="156"/>
        <v>#DIV/0!</v>
      </c>
    </row>
    <row r="404" spans="1:8" x14ac:dyDescent="0.25">
      <c r="A404" s="419">
        <v>32</v>
      </c>
      <c r="B404" s="420" t="s">
        <v>102</v>
      </c>
      <c r="C404" s="421">
        <f>C405</f>
        <v>0</v>
      </c>
      <c r="D404" s="421">
        <f>D405</f>
        <v>0</v>
      </c>
      <c r="E404" s="421">
        <f>E405+E415+E425</f>
        <v>0</v>
      </c>
      <c r="F404" s="421">
        <f>F405+F415+F425</f>
        <v>40000</v>
      </c>
      <c r="G404" s="684" t="e">
        <f t="shared" ref="G404:G405" si="158">F404/D404*100</f>
        <v>#DIV/0!</v>
      </c>
      <c r="H404" s="684" t="e">
        <f t="shared" ref="H404:H428" si="159">F404/E404*100</f>
        <v>#DIV/0!</v>
      </c>
    </row>
    <row r="405" spans="1:8" hidden="1" x14ac:dyDescent="0.25">
      <c r="A405" s="463" t="s">
        <v>112</v>
      </c>
      <c r="B405" s="466" t="s">
        <v>113</v>
      </c>
      <c r="C405" s="424">
        <f>C409+C411+C414</f>
        <v>0</v>
      </c>
      <c r="D405" s="424">
        <f>D409+D411+D414</f>
        <v>0</v>
      </c>
      <c r="E405" s="424">
        <f>E406+E409+E411+E414</f>
        <v>0</v>
      </c>
      <c r="F405" s="424">
        <f>F406+F409+F411+F414</f>
        <v>0</v>
      </c>
      <c r="G405" s="685" t="e">
        <f t="shared" si="158"/>
        <v>#DIV/0!</v>
      </c>
      <c r="H405" s="685" t="e">
        <f t="shared" si="159"/>
        <v>#DIV/0!</v>
      </c>
    </row>
    <row r="406" spans="1:8" hidden="1" x14ac:dyDescent="0.25">
      <c r="A406" s="463" t="s">
        <v>114</v>
      </c>
      <c r="B406" s="466" t="s">
        <v>115</v>
      </c>
      <c r="C406" s="424"/>
      <c r="D406" s="424"/>
      <c r="E406" s="424">
        <f>E407+E408</f>
        <v>0</v>
      </c>
      <c r="F406" s="424">
        <f>F407+F408</f>
        <v>0</v>
      </c>
      <c r="G406" s="685"/>
      <c r="H406" s="685" t="e">
        <f t="shared" si="159"/>
        <v>#DIV/0!</v>
      </c>
    </row>
    <row r="407" spans="1:8" hidden="1" x14ac:dyDescent="0.25">
      <c r="A407" s="468" t="s">
        <v>499</v>
      </c>
      <c r="B407" s="476" t="s">
        <v>395</v>
      </c>
      <c r="C407" s="429"/>
      <c r="D407" s="429"/>
      <c r="E407" s="429">
        <v>0</v>
      </c>
      <c r="F407" s="429"/>
      <c r="G407" s="818"/>
      <c r="H407" s="685" t="e">
        <f t="shared" si="159"/>
        <v>#DIV/0!</v>
      </c>
    </row>
    <row r="408" spans="1:8" hidden="1" x14ac:dyDescent="0.25">
      <c r="A408" s="468" t="s">
        <v>520</v>
      </c>
      <c r="B408" s="476" t="s">
        <v>397</v>
      </c>
      <c r="C408" s="429"/>
      <c r="D408" s="429"/>
      <c r="E408" s="429">
        <v>0</v>
      </c>
      <c r="F408" s="429"/>
      <c r="G408" s="818"/>
      <c r="H408" s="685" t="e">
        <f t="shared" si="159"/>
        <v>#DIV/0!</v>
      </c>
    </row>
    <row r="409" spans="1:8" hidden="1" x14ac:dyDescent="0.25">
      <c r="A409" s="463" t="s">
        <v>116</v>
      </c>
      <c r="B409" s="466" t="s">
        <v>117</v>
      </c>
      <c r="C409" s="424"/>
      <c r="D409" s="424"/>
      <c r="E409" s="424">
        <f>E410</f>
        <v>0</v>
      </c>
      <c r="F409" s="424">
        <f>F410</f>
        <v>0</v>
      </c>
      <c r="G409" s="685" t="e">
        <f t="shared" ref="G409" si="160">F409/D409*100</f>
        <v>#DIV/0!</v>
      </c>
      <c r="H409" s="685" t="e">
        <f t="shared" si="159"/>
        <v>#DIV/0!</v>
      </c>
    </row>
    <row r="410" spans="1:8" hidden="1" x14ac:dyDescent="0.25">
      <c r="A410" s="425" t="s">
        <v>479</v>
      </c>
      <c r="B410" s="426" t="s">
        <v>400</v>
      </c>
      <c r="C410" s="429"/>
      <c r="D410" s="429"/>
      <c r="E410" s="429"/>
      <c r="F410" s="429">
        <v>0</v>
      </c>
      <c r="G410" s="685"/>
      <c r="H410" s="685" t="e">
        <f t="shared" si="159"/>
        <v>#DIV/0!</v>
      </c>
    </row>
    <row r="411" spans="1:8" hidden="1" x14ac:dyDescent="0.25">
      <c r="A411" s="463" t="s">
        <v>118</v>
      </c>
      <c r="B411" s="466" t="s">
        <v>119</v>
      </c>
      <c r="C411" s="424"/>
      <c r="D411" s="424"/>
      <c r="E411" s="424">
        <f>E412+E413</f>
        <v>0</v>
      </c>
      <c r="F411" s="424">
        <f>F412+F413</f>
        <v>0</v>
      </c>
      <c r="G411" s="685" t="e">
        <f t="shared" ref="G411" si="161">F411/D411*100</f>
        <v>#DIV/0!</v>
      </c>
      <c r="H411" s="685" t="e">
        <f t="shared" si="159"/>
        <v>#DIV/0!</v>
      </c>
    </row>
    <row r="412" spans="1:8" hidden="1" x14ac:dyDescent="0.25">
      <c r="A412" s="425" t="s">
        <v>482</v>
      </c>
      <c r="B412" s="426" t="s">
        <v>404</v>
      </c>
      <c r="C412" s="429"/>
      <c r="D412" s="429"/>
      <c r="E412" s="429"/>
      <c r="F412" s="429">
        <v>0</v>
      </c>
      <c r="G412" s="685"/>
      <c r="H412" s="685" t="e">
        <f t="shared" si="159"/>
        <v>#DIV/0!</v>
      </c>
    </row>
    <row r="413" spans="1:8" hidden="1" x14ac:dyDescent="0.25">
      <c r="A413" s="425" t="s">
        <v>484</v>
      </c>
      <c r="B413" s="426" t="s">
        <v>406</v>
      </c>
      <c r="C413" s="429"/>
      <c r="D413" s="429"/>
      <c r="E413" s="429"/>
      <c r="F413" s="429">
        <v>0</v>
      </c>
      <c r="G413" s="685"/>
      <c r="H413" s="685" t="e">
        <f t="shared" si="159"/>
        <v>#DIV/0!</v>
      </c>
    </row>
    <row r="414" spans="1:8" hidden="1" x14ac:dyDescent="0.25">
      <c r="A414" s="463" t="s">
        <v>120</v>
      </c>
      <c r="B414" s="466" t="s">
        <v>321</v>
      </c>
      <c r="C414" s="424"/>
      <c r="D414" s="424"/>
      <c r="E414" s="424"/>
      <c r="F414" s="424"/>
      <c r="G414" s="685" t="e">
        <f t="shared" ref="G414" si="162">F414/D414*100</f>
        <v>#DIV/0!</v>
      </c>
      <c r="H414" s="685" t="e">
        <f t="shared" si="159"/>
        <v>#DIV/0!</v>
      </c>
    </row>
    <row r="415" spans="1:8" x14ac:dyDescent="0.25">
      <c r="A415" s="463" t="s">
        <v>126</v>
      </c>
      <c r="B415" s="423" t="s">
        <v>127</v>
      </c>
      <c r="C415" s="424"/>
      <c r="D415" s="424"/>
      <c r="E415" s="424">
        <f>E416+E418+E420+E422</f>
        <v>0</v>
      </c>
      <c r="F415" s="424">
        <f>F416+F418+F420+F422</f>
        <v>1553.66</v>
      </c>
      <c r="G415" s="685"/>
      <c r="H415" s="685" t="e">
        <f t="shared" si="159"/>
        <v>#DIV/0!</v>
      </c>
    </row>
    <row r="416" spans="1:8" x14ac:dyDescent="0.25">
      <c r="A416" s="463" t="s">
        <v>128</v>
      </c>
      <c r="B416" s="466" t="s">
        <v>129</v>
      </c>
      <c r="C416" s="424">
        <f>C417</f>
        <v>0</v>
      </c>
      <c r="D416" s="424">
        <f>D417</f>
        <v>0</v>
      </c>
      <c r="E416" s="424">
        <f t="shared" ref="E416:F416" si="163">E417</f>
        <v>0</v>
      </c>
      <c r="F416" s="424">
        <f t="shared" si="163"/>
        <v>1553.66</v>
      </c>
      <c r="G416" s="685" t="e">
        <f t="shared" ref="G416" si="164">F416/D416*100</f>
        <v>#DIV/0!</v>
      </c>
      <c r="H416" s="685" t="e">
        <f t="shared" si="159"/>
        <v>#DIV/0!</v>
      </c>
    </row>
    <row r="417" spans="1:9" x14ac:dyDescent="0.25">
      <c r="A417" s="468" t="s">
        <v>488</v>
      </c>
      <c r="B417" s="476" t="s">
        <v>411</v>
      </c>
      <c r="C417" s="429"/>
      <c r="D417" s="429"/>
      <c r="E417" s="429">
        <v>0</v>
      </c>
      <c r="F417" s="429">
        <v>1553.66</v>
      </c>
      <c r="G417" s="685"/>
      <c r="H417" s="685" t="e">
        <f t="shared" si="159"/>
        <v>#DIV/0!</v>
      </c>
    </row>
    <row r="418" spans="1:9" hidden="1" x14ac:dyDescent="0.25">
      <c r="A418" s="463" t="s">
        <v>217</v>
      </c>
      <c r="B418" s="466" t="s">
        <v>137</v>
      </c>
      <c r="C418" s="424"/>
      <c r="D418" s="424"/>
      <c r="E418" s="424">
        <f>E419</f>
        <v>0</v>
      </c>
      <c r="F418" s="424">
        <f>F419</f>
        <v>0</v>
      </c>
      <c r="G418" s="685" t="e">
        <f t="shared" ref="G418" si="165">F418/D418*100</f>
        <v>#DIV/0!</v>
      </c>
      <c r="H418" s="685" t="e">
        <f t="shared" si="159"/>
        <v>#DIV/0!</v>
      </c>
    </row>
    <row r="419" spans="1:9" hidden="1" x14ac:dyDescent="0.25">
      <c r="A419" s="468" t="s">
        <v>500</v>
      </c>
      <c r="B419" s="476" t="s">
        <v>422</v>
      </c>
      <c r="C419" s="429"/>
      <c r="D419" s="429"/>
      <c r="E419" s="429">
        <v>0</v>
      </c>
      <c r="F419" s="429"/>
      <c r="G419" s="685"/>
      <c r="H419" s="685" t="e">
        <f t="shared" si="159"/>
        <v>#DIV/0!</v>
      </c>
    </row>
    <row r="420" spans="1:9" hidden="1" x14ac:dyDescent="0.25">
      <c r="A420" s="463" t="s">
        <v>218</v>
      </c>
      <c r="B420" s="466" t="s">
        <v>138</v>
      </c>
      <c r="C420" s="424"/>
      <c r="D420" s="424"/>
      <c r="E420" s="424">
        <f>E421</f>
        <v>0</v>
      </c>
      <c r="F420" s="424">
        <f>F421</f>
        <v>0</v>
      </c>
      <c r="G420" s="685" t="e">
        <f t="shared" ref="G420" si="166">F420/D420*100</f>
        <v>#DIV/0!</v>
      </c>
      <c r="H420" s="685" t="e">
        <f t="shared" si="159"/>
        <v>#DIV/0!</v>
      </c>
    </row>
    <row r="421" spans="1:9" hidden="1" x14ac:dyDescent="0.25">
      <c r="A421" s="468">
        <v>32379</v>
      </c>
      <c r="B421" s="476" t="s">
        <v>491</v>
      </c>
      <c r="C421" s="429"/>
      <c r="D421" s="429"/>
      <c r="E421" s="429"/>
      <c r="F421" s="429">
        <v>0</v>
      </c>
      <c r="G421" s="685"/>
      <c r="H421" s="685" t="e">
        <f t="shared" si="159"/>
        <v>#DIV/0!</v>
      </c>
    </row>
    <row r="422" spans="1:9" hidden="1" x14ac:dyDescent="0.25">
      <c r="A422" s="463" t="s">
        <v>141</v>
      </c>
      <c r="B422" s="466" t="s">
        <v>142</v>
      </c>
      <c r="C422" s="424"/>
      <c r="D422" s="424"/>
      <c r="E422" s="424">
        <f>E423</f>
        <v>0</v>
      </c>
      <c r="F422" s="424">
        <f>F423+F424</f>
        <v>0</v>
      </c>
      <c r="G422" s="685" t="e">
        <f t="shared" ref="G422" si="167">F422/D422*100</f>
        <v>#DIV/0!</v>
      </c>
      <c r="H422" s="685" t="e">
        <f t="shared" si="159"/>
        <v>#DIV/0!</v>
      </c>
    </row>
    <row r="423" spans="1:9" hidden="1" x14ac:dyDescent="0.25">
      <c r="A423" s="468" t="s">
        <v>603</v>
      </c>
      <c r="B423" s="476" t="s">
        <v>426</v>
      </c>
      <c r="C423" s="429"/>
      <c r="D423" s="429"/>
      <c r="E423" s="429"/>
      <c r="F423" s="429">
        <v>0</v>
      </c>
      <c r="G423" s="685"/>
      <c r="H423" s="685" t="e">
        <f t="shared" si="159"/>
        <v>#DIV/0!</v>
      </c>
    </row>
    <row r="424" spans="1:9" hidden="1" x14ac:dyDescent="0.25">
      <c r="A424" s="468" t="s">
        <v>502</v>
      </c>
      <c r="B424" s="476" t="s">
        <v>305</v>
      </c>
      <c r="C424" s="429"/>
      <c r="D424" s="429"/>
      <c r="E424" s="429"/>
      <c r="F424" s="429"/>
      <c r="G424" s="685" t="e">
        <f t="shared" ref="G424:G428" si="168">F424/D424*100</f>
        <v>#DIV/0!</v>
      </c>
      <c r="H424" s="685" t="e">
        <f t="shared" si="159"/>
        <v>#DIV/0!</v>
      </c>
    </row>
    <row r="425" spans="1:9" x14ac:dyDescent="0.25">
      <c r="A425" s="463" t="s">
        <v>619</v>
      </c>
      <c r="B425" s="466" t="s">
        <v>127</v>
      </c>
      <c r="C425" s="424">
        <f>C426</f>
        <v>0</v>
      </c>
      <c r="D425" s="424">
        <f>D426</f>
        <v>0</v>
      </c>
      <c r="E425" s="424">
        <f t="shared" ref="E425:F425" si="169">E426</f>
        <v>0</v>
      </c>
      <c r="F425" s="424">
        <f t="shared" si="169"/>
        <v>38446.339999999997</v>
      </c>
      <c r="G425" s="685" t="e">
        <f t="shared" si="168"/>
        <v>#DIV/0!</v>
      </c>
      <c r="H425" s="685" t="e">
        <f t="shared" si="159"/>
        <v>#DIV/0!</v>
      </c>
    </row>
    <row r="426" spans="1:9" x14ac:dyDescent="0.25">
      <c r="A426" s="463" t="s">
        <v>620</v>
      </c>
      <c r="B426" s="466" t="s">
        <v>142</v>
      </c>
      <c r="C426" s="424">
        <f>C427+C428</f>
        <v>0</v>
      </c>
      <c r="D426" s="424">
        <f>D427+D428</f>
        <v>0</v>
      </c>
      <c r="E426" s="424">
        <f t="shared" ref="E426:F426" si="170">E427+E428</f>
        <v>0</v>
      </c>
      <c r="F426" s="424">
        <f t="shared" si="170"/>
        <v>38446.339999999997</v>
      </c>
      <c r="G426" s="685" t="e">
        <f t="shared" si="168"/>
        <v>#DIV/0!</v>
      </c>
      <c r="H426" s="685" t="e">
        <f t="shared" si="159"/>
        <v>#DIV/0!</v>
      </c>
    </row>
    <row r="427" spans="1:9" x14ac:dyDescent="0.25">
      <c r="A427" s="425" t="s">
        <v>621</v>
      </c>
      <c r="B427" s="426" t="s">
        <v>623</v>
      </c>
      <c r="C427" s="429"/>
      <c r="D427" s="429"/>
      <c r="E427" s="429">
        <v>0</v>
      </c>
      <c r="F427" s="429"/>
      <c r="G427" s="685" t="e">
        <f t="shared" si="168"/>
        <v>#DIV/0!</v>
      </c>
      <c r="H427" s="685" t="e">
        <f t="shared" si="159"/>
        <v>#DIV/0!</v>
      </c>
    </row>
    <row r="428" spans="1:9" x14ac:dyDescent="0.25">
      <c r="A428" s="425" t="s">
        <v>622</v>
      </c>
      <c r="B428" s="426" t="s">
        <v>624</v>
      </c>
      <c r="C428" s="429"/>
      <c r="D428" s="429"/>
      <c r="E428" s="429">
        <v>0</v>
      </c>
      <c r="F428" s="429">
        <v>38446.339999999997</v>
      </c>
      <c r="G428" s="685" t="e">
        <f t="shared" si="168"/>
        <v>#DIV/0!</v>
      </c>
      <c r="H428" s="685" t="e">
        <f t="shared" si="159"/>
        <v>#DIV/0!</v>
      </c>
    </row>
    <row r="429" spans="1:9" s="776" customFormat="1" ht="18.75" x14ac:dyDescent="0.25">
      <c r="A429" s="469" t="s">
        <v>312</v>
      </c>
      <c r="B429" s="470" t="s">
        <v>351</v>
      </c>
      <c r="C429" s="418">
        <f>C430</f>
        <v>125305.62</v>
      </c>
      <c r="D429" s="418">
        <f>D430</f>
        <v>362383.70999999996</v>
      </c>
      <c r="E429" s="418">
        <f>E430</f>
        <v>304286</v>
      </c>
      <c r="F429" s="418">
        <f>F430</f>
        <v>31533.29</v>
      </c>
      <c r="G429" s="682">
        <f t="shared" si="133"/>
        <v>8.7016301036268988</v>
      </c>
      <c r="H429" s="682">
        <f t="shared" si="135"/>
        <v>10.363043321086083</v>
      </c>
      <c r="I429" s="850"/>
    </row>
    <row r="430" spans="1:9" s="824" customFormat="1" ht="15" x14ac:dyDescent="0.25">
      <c r="A430" s="454" t="s">
        <v>352</v>
      </c>
      <c r="B430" s="455" t="s">
        <v>353</v>
      </c>
      <c r="C430" s="688">
        <f>C431+C458</f>
        <v>125305.62</v>
      </c>
      <c r="D430" s="688">
        <f>D431+D458</f>
        <v>362383.70999999996</v>
      </c>
      <c r="E430" s="688">
        <f>E431+E458</f>
        <v>304286</v>
      </c>
      <c r="F430" s="688">
        <f>F431+F458</f>
        <v>31533.29</v>
      </c>
      <c r="G430" s="689">
        <f t="shared" si="133"/>
        <v>8.7016301036268988</v>
      </c>
      <c r="H430" s="689">
        <f t="shared" si="135"/>
        <v>10.363043321086083</v>
      </c>
      <c r="I430" s="851"/>
    </row>
    <row r="431" spans="1:9" s="776" customFormat="1" x14ac:dyDescent="0.25">
      <c r="A431" s="467" t="s">
        <v>86</v>
      </c>
      <c r="B431" s="472" t="s">
        <v>87</v>
      </c>
      <c r="C431" s="447">
        <f>C432+C441</f>
        <v>49059.35</v>
      </c>
      <c r="D431" s="447">
        <f>D432+D441</f>
        <v>96660</v>
      </c>
      <c r="E431" s="447">
        <f>E432+E441</f>
        <v>95286</v>
      </c>
      <c r="F431" s="447">
        <f t="shared" ref="F431:G431" si="171">F432+F441</f>
        <v>31533.29</v>
      </c>
      <c r="G431" s="447" t="e">
        <f t="shared" si="171"/>
        <v>#DIV/0!</v>
      </c>
      <c r="H431" s="687">
        <f t="shared" si="135"/>
        <v>33.093308565791411</v>
      </c>
      <c r="I431" s="850"/>
    </row>
    <row r="432" spans="1:9" s="776" customFormat="1" hidden="1" x14ac:dyDescent="0.25">
      <c r="A432" s="419">
        <v>31</v>
      </c>
      <c r="B432" s="420" t="s">
        <v>88</v>
      </c>
      <c r="C432" s="421">
        <f>C433+C436+C438</f>
        <v>0</v>
      </c>
      <c r="D432" s="421">
        <f>D433+D436+D438</f>
        <v>0</v>
      </c>
      <c r="E432" s="421">
        <f>E433+E436+E438</f>
        <v>0</v>
      </c>
      <c r="F432" s="421">
        <f t="shared" ref="F432" si="172">F433+F436+F438</f>
        <v>0</v>
      </c>
      <c r="G432" s="685" t="e">
        <f t="shared" si="133"/>
        <v>#DIV/0!</v>
      </c>
      <c r="H432" s="685" t="e">
        <f t="shared" si="135"/>
        <v>#DIV/0!</v>
      </c>
      <c r="I432" s="850"/>
    </row>
    <row r="433" spans="1:9" s="776" customFormat="1" hidden="1" x14ac:dyDescent="0.25">
      <c r="A433" s="422">
        <v>311</v>
      </c>
      <c r="B433" s="423" t="s">
        <v>89</v>
      </c>
      <c r="C433" s="424">
        <f>C434+C435</f>
        <v>0</v>
      </c>
      <c r="D433" s="424">
        <f>D434+D435</f>
        <v>0</v>
      </c>
      <c r="E433" s="424">
        <f>E434+E435</f>
        <v>0</v>
      </c>
      <c r="F433" s="424">
        <f t="shared" ref="F433" si="173">F434+F435</f>
        <v>0</v>
      </c>
      <c r="G433" s="685" t="e">
        <f t="shared" si="133"/>
        <v>#DIV/0!</v>
      </c>
      <c r="H433" s="685" t="e">
        <f t="shared" si="135"/>
        <v>#DIV/0!</v>
      </c>
      <c r="I433" s="850"/>
    </row>
    <row r="434" spans="1:9" s="766" customFormat="1" hidden="1" x14ac:dyDescent="0.25">
      <c r="A434" s="425">
        <v>3111</v>
      </c>
      <c r="B434" s="426" t="s">
        <v>90</v>
      </c>
      <c r="C434" s="429"/>
      <c r="D434" s="429"/>
      <c r="E434" s="429"/>
      <c r="F434" s="429"/>
      <c r="G434" s="685" t="e">
        <f t="shared" si="133"/>
        <v>#DIV/0!</v>
      </c>
      <c r="H434" s="685" t="e">
        <f t="shared" si="135"/>
        <v>#DIV/0!</v>
      </c>
      <c r="I434" s="838"/>
    </row>
    <row r="435" spans="1:9" s="766" customFormat="1" hidden="1" x14ac:dyDescent="0.25">
      <c r="A435" s="425" t="s">
        <v>95</v>
      </c>
      <c r="B435" s="426" t="s">
        <v>211</v>
      </c>
      <c r="C435" s="429"/>
      <c r="D435" s="429"/>
      <c r="E435" s="429"/>
      <c r="F435" s="429"/>
      <c r="G435" s="685" t="e">
        <f t="shared" si="133"/>
        <v>#DIV/0!</v>
      </c>
      <c r="H435" s="685" t="e">
        <f t="shared" si="135"/>
        <v>#DIV/0!</v>
      </c>
      <c r="I435" s="838"/>
    </row>
    <row r="436" spans="1:9" s="777" customFormat="1" hidden="1" x14ac:dyDescent="0.25">
      <c r="A436" s="422" t="s">
        <v>97</v>
      </c>
      <c r="B436" s="423" t="s">
        <v>98</v>
      </c>
      <c r="C436" s="424">
        <f>C437</f>
        <v>0</v>
      </c>
      <c r="D436" s="424">
        <f>D437</f>
        <v>0</v>
      </c>
      <c r="E436" s="424">
        <f>E437</f>
        <v>0</v>
      </c>
      <c r="F436" s="424">
        <f t="shared" ref="F436" si="174">F437</f>
        <v>0</v>
      </c>
      <c r="G436" s="685" t="e">
        <f t="shared" si="133"/>
        <v>#DIV/0!</v>
      </c>
      <c r="H436" s="685" t="e">
        <f t="shared" si="135"/>
        <v>#DIV/0!</v>
      </c>
      <c r="I436" s="852"/>
    </row>
    <row r="437" spans="1:9" s="766" customFormat="1" hidden="1" x14ac:dyDescent="0.25">
      <c r="A437" s="425" t="s">
        <v>99</v>
      </c>
      <c r="B437" s="426" t="s">
        <v>98</v>
      </c>
      <c r="C437" s="429"/>
      <c r="D437" s="429"/>
      <c r="E437" s="429"/>
      <c r="F437" s="429"/>
      <c r="G437" s="685" t="e">
        <f t="shared" si="133"/>
        <v>#DIV/0!</v>
      </c>
      <c r="H437" s="685" t="e">
        <f t="shared" si="135"/>
        <v>#DIV/0!</v>
      </c>
      <c r="I437" s="838"/>
    </row>
    <row r="438" spans="1:9" s="777" customFormat="1" hidden="1" x14ac:dyDescent="0.25">
      <c r="A438" s="427">
        <v>313</v>
      </c>
      <c r="B438" s="423" t="s">
        <v>100</v>
      </c>
      <c r="C438" s="424">
        <f>C439+C440</f>
        <v>0</v>
      </c>
      <c r="D438" s="424">
        <f>D439+D440</f>
        <v>0</v>
      </c>
      <c r="E438" s="424">
        <f>E439+E440</f>
        <v>0</v>
      </c>
      <c r="F438" s="424">
        <f t="shared" ref="F438" si="175">F439+F440</f>
        <v>0</v>
      </c>
      <c r="G438" s="685" t="e">
        <f t="shared" si="133"/>
        <v>#DIV/0!</v>
      </c>
      <c r="H438" s="685" t="e">
        <f t="shared" si="135"/>
        <v>#DIV/0!</v>
      </c>
      <c r="I438" s="852"/>
    </row>
    <row r="439" spans="1:9" s="776" customFormat="1" hidden="1" x14ac:dyDescent="0.25">
      <c r="A439" s="428" t="s">
        <v>225</v>
      </c>
      <c r="B439" s="426" t="s">
        <v>226</v>
      </c>
      <c r="C439" s="429"/>
      <c r="D439" s="429"/>
      <c r="E439" s="429"/>
      <c r="F439" s="429"/>
      <c r="G439" s="685" t="e">
        <f t="shared" si="133"/>
        <v>#DIV/0!</v>
      </c>
      <c r="H439" s="685" t="e">
        <f t="shared" si="135"/>
        <v>#DIV/0!</v>
      </c>
      <c r="I439" s="850"/>
    </row>
    <row r="440" spans="1:9" s="766" customFormat="1" hidden="1" x14ac:dyDescent="0.25">
      <c r="A440" s="428">
        <v>3132</v>
      </c>
      <c r="B440" s="426" t="s">
        <v>101</v>
      </c>
      <c r="C440" s="429"/>
      <c r="D440" s="429"/>
      <c r="E440" s="429"/>
      <c r="F440" s="429"/>
      <c r="G440" s="685" t="e">
        <f t="shared" si="133"/>
        <v>#DIV/0!</v>
      </c>
      <c r="H440" s="685" t="e">
        <f t="shared" si="135"/>
        <v>#DIV/0!</v>
      </c>
      <c r="I440" s="838"/>
    </row>
    <row r="441" spans="1:9" s="776" customFormat="1" x14ac:dyDescent="0.25">
      <c r="A441" s="419">
        <v>32</v>
      </c>
      <c r="B441" s="420" t="s">
        <v>102</v>
      </c>
      <c r="C441" s="421">
        <f>C442+C446+C449</f>
        <v>49059.35</v>
      </c>
      <c r="D441" s="421">
        <f>D442+D446+D449</f>
        <v>96660</v>
      </c>
      <c r="E441" s="421">
        <f>E442+E446+E449</f>
        <v>95286</v>
      </c>
      <c r="F441" s="421">
        <f>F442+F446+F449</f>
        <v>31533.29</v>
      </c>
      <c r="G441" s="684">
        <f t="shared" si="133"/>
        <v>32.622894682391887</v>
      </c>
      <c r="H441" s="684">
        <f t="shared" si="135"/>
        <v>33.093308565791411</v>
      </c>
      <c r="I441" s="850"/>
    </row>
    <row r="442" spans="1:9" s="776" customFormat="1" hidden="1" x14ac:dyDescent="0.25">
      <c r="A442" s="422">
        <v>321</v>
      </c>
      <c r="B442" s="423" t="s">
        <v>103</v>
      </c>
      <c r="C442" s="424">
        <f>SUM(C443:C445)</f>
        <v>0</v>
      </c>
      <c r="D442" s="424">
        <f>SUM(D443:D445)</f>
        <v>0</v>
      </c>
      <c r="E442" s="424">
        <f>SUM(E443:E445)</f>
        <v>0</v>
      </c>
      <c r="F442" s="424">
        <f t="shared" ref="F442" si="176">SUM(F443:F445)</f>
        <v>0</v>
      </c>
      <c r="G442" s="685" t="e">
        <f t="shared" si="133"/>
        <v>#DIV/0!</v>
      </c>
      <c r="H442" s="685" t="e">
        <f t="shared" si="135"/>
        <v>#DIV/0!</v>
      </c>
      <c r="I442" s="850"/>
    </row>
    <row r="443" spans="1:9" s="766" customFormat="1" hidden="1" x14ac:dyDescent="0.25">
      <c r="A443" s="425" t="s">
        <v>104</v>
      </c>
      <c r="B443" s="426" t="s">
        <v>105</v>
      </c>
      <c r="C443" s="429"/>
      <c r="D443" s="429"/>
      <c r="E443" s="429"/>
      <c r="F443" s="429"/>
      <c r="G443" s="685" t="e">
        <f t="shared" si="133"/>
        <v>#DIV/0!</v>
      </c>
      <c r="H443" s="685" t="e">
        <f t="shared" si="135"/>
        <v>#DIV/0!</v>
      </c>
      <c r="I443" s="838"/>
    </row>
    <row r="444" spans="1:9" s="766" customFormat="1" hidden="1" x14ac:dyDescent="0.25">
      <c r="A444" s="425" t="s">
        <v>106</v>
      </c>
      <c r="B444" s="430" t="s">
        <v>107</v>
      </c>
      <c r="C444" s="429"/>
      <c r="D444" s="429"/>
      <c r="E444" s="429"/>
      <c r="F444" s="429"/>
      <c r="G444" s="685" t="e">
        <f t="shared" si="133"/>
        <v>#DIV/0!</v>
      </c>
      <c r="H444" s="685" t="e">
        <f t="shared" si="135"/>
        <v>#DIV/0!</v>
      </c>
      <c r="I444" s="838"/>
    </row>
    <row r="445" spans="1:9" hidden="1" x14ac:dyDescent="0.25">
      <c r="A445" s="425" t="s">
        <v>108</v>
      </c>
      <c r="B445" s="430" t="s">
        <v>109</v>
      </c>
      <c r="C445" s="429"/>
      <c r="D445" s="429"/>
      <c r="E445" s="429"/>
      <c r="F445" s="429"/>
      <c r="G445" s="685" t="e">
        <f t="shared" si="133"/>
        <v>#DIV/0!</v>
      </c>
      <c r="H445" s="685" t="e">
        <f t="shared" si="135"/>
        <v>#DIV/0!</v>
      </c>
    </row>
    <row r="446" spans="1:9" s="761" customFormat="1" hidden="1" x14ac:dyDescent="0.25">
      <c r="A446" s="422" t="s">
        <v>112</v>
      </c>
      <c r="B446" s="431" t="s">
        <v>113</v>
      </c>
      <c r="C446" s="424">
        <f>C447</f>
        <v>0</v>
      </c>
      <c r="D446" s="424">
        <f>D447</f>
        <v>0</v>
      </c>
      <c r="E446" s="424">
        <f>E447</f>
        <v>0</v>
      </c>
      <c r="F446" s="424">
        <f t="shared" ref="F446:G446" si="177">F447</f>
        <v>0</v>
      </c>
      <c r="G446" s="424">
        <f t="shared" si="177"/>
        <v>0</v>
      </c>
      <c r="H446" s="685" t="e">
        <f t="shared" si="135"/>
        <v>#DIV/0!</v>
      </c>
      <c r="I446" s="830"/>
    </row>
    <row r="447" spans="1:9" s="761" customFormat="1" hidden="1" x14ac:dyDescent="0.25">
      <c r="A447" s="422" t="s">
        <v>120</v>
      </c>
      <c r="B447" s="431" t="s">
        <v>121</v>
      </c>
      <c r="C447" s="424"/>
      <c r="D447" s="424"/>
      <c r="E447" s="424">
        <f>E448</f>
        <v>0</v>
      </c>
      <c r="F447" s="424">
        <f>F448</f>
        <v>0</v>
      </c>
      <c r="G447" s="685"/>
      <c r="H447" s="685" t="e">
        <f t="shared" si="135"/>
        <v>#DIV/0!</v>
      </c>
      <c r="I447" s="830"/>
    </row>
    <row r="448" spans="1:9" hidden="1" x14ac:dyDescent="0.25">
      <c r="A448" s="425" t="s">
        <v>524</v>
      </c>
      <c r="B448" s="430" t="s">
        <v>595</v>
      </c>
      <c r="C448" s="429"/>
      <c r="D448" s="429"/>
      <c r="E448" s="429"/>
      <c r="F448" s="429"/>
      <c r="G448" s="685"/>
      <c r="H448" s="685" t="e">
        <f t="shared" si="135"/>
        <v>#DIV/0!</v>
      </c>
    </row>
    <row r="449" spans="1:9" s="761" customFormat="1" x14ac:dyDescent="0.25">
      <c r="A449" s="422" t="s">
        <v>126</v>
      </c>
      <c r="B449" s="431" t="s">
        <v>127</v>
      </c>
      <c r="C449" s="424">
        <f>C450+C454+C455+C456</f>
        <v>49059.35</v>
      </c>
      <c r="D449" s="424">
        <f>D450+D454+D455+D456</f>
        <v>96660</v>
      </c>
      <c r="E449" s="424">
        <f>E450+E454+E455+E456</f>
        <v>95286</v>
      </c>
      <c r="F449" s="424">
        <f t="shared" ref="F449" si="178">F450+F454+F455+F456</f>
        <v>31533.29</v>
      </c>
      <c r="G449" s="685">
        <f t="shared" si="133"/>
        <v>32.622894682391887</v>
      </c>
      <c r="H449" s="685">
        <f t="shared" si="135"/>
        <v>33.093308565791411</v>
      </c>
      <c r="I449" s="830"/>
    </row>
    <row r="450" spans="1:9" s="761" customFormat="1" x14ac:dyDescent="0.25">
      <c r="A450" s="463" t="s">
        <v>130</v>
      </c>
      <c r="B450" s="479" t="s">
        <v>131</v>
      </c>
      <c r="C450" s="424">
        <f>SUM(C451:C453)</f>
        <v>31610.359999999997</v>
      </c>
      <c r="D450" s="424">
        <f>SUM(D451:D453)</f>
        <v>64440</v>
      </c>
      <c r="E450" s="424">
        <f>SUM(E451:E453)</f>
        <v>55286</v>
      </c>
      <c r="F450" s="424">
        <f t="shared" ref="F450" si="179">SUM(F451:F453)</f>
        <v>12192.03</v>
      </c>
      <c r="G450" s="685">
        <f t="shared" si="133"/>
        <v>18.919972067039108</v>
      </c>
      <c r="H450" s="685">
        <f t="shared" si="135"/>
        <v>22.052653474659049</v>
      </c>
      <c r="I450" s="830"/>
    </row>
    <row r="451" spans="1:9" s="761" customFormat="1" x14ac:dyDescent="0.25">
      <c r="A451" s="468">
        <v>32321</v>
      </c>
      <c r="B451" s="478" t="s">
        <v>414</v>
      </c>
      <c r="C451" s="429">
        <v>8274.89</v>
      </c>
      <c r="D451" s="429">
        <v>16110</v>
      </c>
      <c r="E451" s="429">
        <v>20000</v>
      </c>
      <c r="F451" s="429">
        <v>3395.31</v>
      </c>
      <c r="G451" s="685">
        <f t="shared" si="133"/>
        <v>21.07579143389199</v>
      </c>
      <c r="H451" s="685">
        <f t="shared" si="135"/>
        <v>16.97655</v>
      </c>
      <c r="I451" s="830"/>
    </row>
    <row r="452" spans="1:9" s="761" customFormat="1" x14ac:dyDescent="0.25">
      <c r="A452" s="468">
        <v>32322</v>
      </c>
      <c r="B452" s="478" t="s">
        <v>415</v>
      </c>
      <c r="C452" s="429">
        <v>4687.71</v>
      </c>
      <c r="D452" s="429">
        <v>16110</v>
      </c>
      <c r="E452" s="429">
        <v>10000</v>
      </c>
      <c r="F452" s="429">
        <v>2948.21</v>
      </c>
      <c r="G452" s="685">
        <f t="shared" si="133"/>
        <v>18.300496585971445</v>
      </c>
      <c r="H452" s="685">
        <f t="shared" si="135"/>
        <v>29.482099999999999</v>
      </c>
      <c r="I452" s="830"/>
    </row>
    <row r="453" spans="1:9" s="767" customFormat="1" x14ac:dyDescent="0.25">
      <c r="A453" s="468">
        <v>32323</v>
      </c>
      <c r="B453" s="478" t="s">
        <v>413</v>
      </c>
      <c r="C453" s="429">
        <v>18647.759999999998</v>
      </c>
      <c r="D453" s="429">
        <v>32220</v>
      </c>
      <c r="E453" s="429">
        <v>25286</v>
      </c>
      <c r="F453" s="429">
        <v>5848.51</v>
      </c>
      <c r="G453" s="685">
        <f t="shared" si="133"/>
        <v>18.151800124146494</v>
      </c>
      <c r="H453" s="685">
        <f t="shared" si="135"/>
        <v>23.129439215376099</v>
      </c>
      <c r="I453" s="829"/>
    </row>
    <row r="454" spans="1:9" s="767" customFormat="1" hidden="1" x14ac:dyDescent="0.25">
      <c r="A454" s="463" t="s">
        <v>132</v>
      </c>
      <c r="B454" s="479" t="s">
        <v>133</v>
      </c>
      <c r="C454" s="424"/>
      <c r="D454" s="424"/>
      <c r="E454" s="424"/>
      <c r="F454" s="424"/>
      <c r="G454" s="685" t="e">
        <f t="shared" si="133"/>
        <v>#DIV/0!</v>
      </c>
      <c r="H454" s="685" t="e">
        <f t="shared" si="135"/>
        <v>#DIV/0!</v>
      </c>
      <c r="I454" s="829"/>
    </row>
    <row r="455" spans="1:9" hidden="1" x14ac:dyDescent="0.25">
      <c r="A455" s="463" t="s">
        <v>218</v>
      </c>
      <c r="B455" s="479" t="s">
        <v>138</v>
      </c>
      <c r="C455" s="424"/>
      <c r="D455" s="424"/>
      <c r="E455" s="424"/>
      <c r="F455" s="424"/>
      <c r="G455" s="685" t="e">
        <f t="shared" si="133"/>
        <v>#DIV/0!</v>
      </c>
      <c r="H455" s="685" t="e">
        <f t="shared" si="135"/>
        <v>#DIV/0!</v>
      </c>
    </row>
    <row r="456" spans="1:9" x14ac:dyDescent="0.25">
      <c r="A456" s="463" t="s">
        <v>139</v>
      </c>
      <c r="B456" s="479" t="s">
        <v>140</v>
      </c>
      <c r="C456" s="424">
        <f>SUM(C457)</f>
        <v>17448.990000000002</v>
      </c>
      <c r="D456" s="424">
        <f>SUM(D457)</f>
        <v>32220</v>
      </c>
      <c r="E456" s="424">
        <f>SUM(E457)</f>
        <v>40000</v>
      </c>
      <c r="F456" s="424">
        <f t="shared" ref="F456" si="180">SUM(F457)</f>
        <v>19341.259999999998</v>
      </c>
      <c r="G456" s="685">
        <f t="shared" si="133"/>
        <v>60.028739913097453</v>
      </c>
      <c r="H456" s="685">
        <f t="shared" si="135"/>
        <v>48.353149999999992</v>
      </c>
    </row>
    <row r="457" spans="1:9" x14ac:dyDescent="0.25">
      <c r="A457" s="425" t="s">
        <v>506</v>
      </c>
      <c r="B457" s="430" t="s">
        <v>425</v>
      </c>
      <c r="C457" s="429">
        <v>17448.990000000002</v>
      </c>
      <c r="D457" s="429">
        <v>32220</v>
      </c>
      <c r="E457" s="429">
        <v>40000</v>
      </c>
      <c r="F457" s="429">
        <v>19341.259999999998</v>
      </c>
      <c r="G457" s="685">
        <f t="shared" si="133"/>
        <v>60.028739913097453</v>
      </c>
      <c r="H457" s="685">
        <f t="shared" si="135"/>
        <v>48.353149999999992</v>
      </c>
    </row>
    <row r="458" spans="1:9" x14ac:dyDescent="0.25">
      <c r="A458" s="445">
        <v>4</v>
      </c>
      <c r="B458" s="446" t="s">
        <v>174</v>
      </c>
      <c r="C458" s="447">
        <f>SUM(C459,C470)</f>
        <v>76246.26999999999</v>
      </c>
      <c r="D458" s="447">
        <f>SUM(D459,D470)</f>
        <v>265723.70999999996</v>
      </c>
      <c r="E458" s="447">
        <f>SUM(E459,E470)</f>
        <v>209000</v>
      </c>
      <c r="F458" s="447">
        <f t="shared" ref="F458" si="181">SUM(F459,F470)</f>
        <v>0</v>
      </c>
      <c r="G458" s="687">
        <f t="shared" si="133"/>
        <v>0</v>
      </c>
      <c r="H458" s="687">
        <f t="shared" si="135"/>
        <v>0</v>
      </c>
    </row>
    <row r="459" spans="1:9" x14ac:dyDescent="0.25">
      <c r="A459" s="439">
        <v>42</v>
      </c>
      <c r="B459" s="473" t="s">
        <v>354</v>
      </c>
      <c r="C459" s="421">
        <f>C460</f>
        <v>66332.399999999994</v>
      </c>
      <c r="D459" s="421">
        <f>D460</f>
        <v>135136.04999999999</v>
      </c>
      <c r="E459" s="421">
        <f>E460</f>
        <v>178000</v>
      </c>
      <c r="F459" s="421">
        <f t="shared" ref="F459" si="182">F460</f>
        <v>0</v>
      </c>
      <c r="G459" s="684">
        <f t="shared" si="133"/>
        <v>0</v>
      </c>
      <c r="H459" s="684">
        <f t="shared" si="135"/>
        <v>0</v>
      </c>
    </row>
    <row r="460" spans="1:9" x14ac:dyDescent="0.25">
      <c r="A460" s="441">
        <v>422</v>
      </c>
      <c r="B460" s="443" t="s">
        <v>184</v>
      </c>
      <c r="C460" s="424">
        <f>C461+C464+C466+C468</f>
        <v>66332.399999999994</v>
      </c>
      <c r="D460" s="424">
        <f>D461+D464+D466+D468</f>
        <v>135136.04999999999</v>
      </c>
      <c r="E460" s="424">
        <f>E461+E464+E466+E468</f>
        <v>178000</v>
      </c>
      <c r="F460" s="424">
        <f>F461+F464+F466+F468</f>
        <v>0</v>
      </c>
      <c r="G460" s="685">
        <f t="shared" si="133"/>
        <v>0</v>
      </c>
      <c r="H460" s="685">
        <f t="shared" si="135"/>
        <v>0</v>
      </c>
    </row>
    <row r="461" spans="1:9" x14ac:dyDescent="0.25">
      <c r="A461" s="393">
        <v>4221</v>
      </c>
      <c r="B461" s="530" t="s">
        <v>186</v>
      </c>
      <c r="C461" s="424">
        <f>SUM(C462:C463)</f>
        <v>0</v>
      </c>
      <c r="D461" s="424">
        <f>SUM(D462:D463)</f>
        <v>27345.38</v>
      </c>
      <c r="E461" s="424">
        <f>SUM(E462:E463)</f>
        <v>6000</v>
      </c>
      <c r="F461" s="424">
        <f t="shared" ref="F461" si="183">SUM(F462:F463)</f>
        <v>0</v>
      </c>
      <c r="G461" s="685">
        <f t="shared" si="133"/>
        <v>0</v>
      </c>
      <c r="H461" s="685">
        <f t="shared" si="135"/>
        <v>0</v>
      </c>
    </row>
    <row r="462" spans="1:9" x14ac:dyDescent="0.25">
      <c r="A462" s="474">
        <v>42211</v>
      </c>
      <c r="B462" s="475" t="s">
        <v>445</v>
      </c>
      <c r="C462" s="429">
        <v>0</v>
      </c>
      <c r="D462" s="429">
        <v>5865.38</v>
      </c>
      <c r="E462" s="429">
        <v>5000</v>
      </c>
      <c r="F462" s="755"/>
      <c r="G462" s="685">
        <f t="shared" si="133"/>
        <v>0</v>
      </c>
      <c r="H462" s="685">
        <f t="shared" si="135"/>
        <v>0</v>
      </c>
    </row>
    <row r="463" spans="1:9" x14ac:dyDescent="0.25">
      <c r="A463" s="474">
        <v>42212</v>
      </c>
      <c r="B463" s="475" t="s">
        <v>446</v>
      </c>
      <c r="C463" s="429">
        <v>0</v>
      </c>
      <c r="D463" s="429">
        <v>21480</v>
      </c>
      <c r="E463" s="429">
        <v>1000</v>
      </c>
      <c r="F463" s="429"/>
      <c r="G463" s="685">
        <f t="shared" ref="G463:G523" si="184">F463/D463*100</f>
        <v>0</v>
      </c>
      <c r="H463" s="685">
        <f t="shared" si="135"/>
        <v>0</v>
      </c>
    </row>
    <row r="464" spans="1:9" x14ac:dyDescent="0.25">
      <c r="A464" s="393">
        <v>4223</v>
      </c>
      <c r="B464" s="530" t="s">
        <v>189</v>
      </c>
      <c r="C464" s="424">
        <f>C465</f>
        <v>1457.4</v>
      </c>
      <c r="D464" s="424">
        <f>D465</f>
        <v>7518</v>
      </c>
      <c r="E464" s="424">
        <f>E465</f>
        <v>3000</v>
      </c>
      <c r="F464" s="424">
        <f>F465</f>
        <v>0</v>
      </c>
      <c r="G464" s="685">
        <f t="shared" si="184"/>
        <v>0</v>
      </c>
      <c r="H464" s="685">
        <f t="shared" si="135"/>
        <v>0</v>
      </c>
    </row>
    <row r="465" spans="1:9" x14ac:dyDescent="0.25">
      <c r="A465" s="474">
        <v>42231</v>
      </c>
      <c r="B465" s="475" t="s">
        <v>449</v>
      </c>
      <c r="C465" s="429">
        <v>1457.4</v>
      </c>
      <c r="D465" s="429">
        <v>7518</v>
      </c>
      <c r="E465" s="429">
        <v>3000</v>
      </c>
      <c r="F465" s="429"/>
      <c r="G465" s="685">
        <f t="shared" si="184"/>
        <v>0</v>
      </c>
      <c r="H465" s="685">
        <f t="shared" ref="H465:H523" si="185">F465/E465*100</f>
        <v>0</v>
      </c>
    </row>
    <row r="466" spans="1:9" x14ac:dyDescent="0.25">
      <c r="A466" s="393">
        <v>4224</v>
      </c>
      <c r="B466" s="530" t="s">
        <v>190</v>
      </c>
      <c r="C466" s="424">
        <f>SUM(C467)</f>
        <v>54875</v>
      </c>
      <c r="D466" s="424">
        <f>SUM(D467)</f>
        <v>62365.84</v>
      </c>
      <c r="E466" s="424">
        <f>SUM(E467)</f>
        <v>134000</v>
      </c>
      <c r="F466" s="424">
        <f t="shared" ref="F466" si="186">SUM(F467)</f>
        <v>0</v>
      </c>
      <c r="G466" s="685">
        <f t="shared" si="184"/>
        <v>0</v>
      </c>
      <c r="H466" s="685">
        <f t="shared" si="185"/>
        <v>0</v>
      </c>
    </row>
    <row r="467" spans="1:9" x14ac:dyDescent="0.25">
      <c r="A467" s="474">
        <v>42241</v>
      </c>
      <c r="B467" s="475" t="s">
        <v>450</v>
      </c>
      <c r="C467" s="429">
        <v>54875</v>
      </c>
      <c r="D467" s="429">
        <v>62365.84</v>
      </c>
      <c r="E467" s="429">
        <v>134000</v>
      </c>
      <c r="F467" s="429"/>
      <c r="G467" s="685">
        <f t="shared" si="184"/>
        <v>0</v>
      </c>
      <c r="H467" s="685">
        <f t="shared" si="185"/>
        <v>0</v>
      </c>
    </row>
    <row r="468" spans="1:9" x14ac:dyDescent="0.25">
      <c r="A468" s="393">
        <v>4225</v>
      </c>
      <c r="B468" s="530" t="s">
        <v>191</v>
      </c>
      <c r="C468" s="424">
        <f>SUM(C469)</f>
        <v>10000</v>
      </c>
      <c r="D468" s="424">
        <f>SUM(D469)</f>
        <v>37906.83</v>
      </c>
      <c r="E468" s="424">
        <f>SUM(E469)</f>
        <v>35000</v>
      </c>
      <c r="F468" s="424">
        <f t="shared" ref="F468" si="187">SUM(F469)</f>
        <v>0</v>
      </c>
      <c r="G468" s="685">
        <f t="shared" si="184"/>
        <v>0</v>
      </c>
      <c r="H468" s="685">
        <f t="shared" si="185"/>
        <v>0</v>
      </c>
    </row>
    <row r="469" spans="1:9" x14ac:dyDescent="0.25">
      <c r="A469" s="474">
        <v>42259</v>
      </c>
      <c r="B469" s="475" t="s">
        <v>191</v>
      </c>
      <c r="C469" s="429">
        <v>10000</v>
      </c>
      <c r="D469" s="429">
        <v>37906.83</v>
      </c>
      <c r="E469" s="429">
        <v>35000</v>
      </c>
      <c r="F469" s="429"/>
      <c r="G469" s="685">
        <f t="shared" si="184"/>
        <v>0</v>
      </c>
      <c r="H469" s="685">
        <f t="shared" si="185"/>
        <v>0</v>
      </c>
    </row>
    <row r="470" spans="1:9" x14ac:dyDescent="0.25">
      <c r="A470" s="419" t="s">
        <v>196</v>
      </c>
      <c r="B470" s="448" t="s">
        <v>197</v>
      </c>
      <c r="C470" s="421">
        <f t="shared" ref="C470:E472" si="188">SUM(C471)</f>
        <v>9913.8700000000008</v>
      </c>
      <c r="D470" s="421">
        <f t="shared" si="188"/>
        <v>130587.66</v>
      </c>
      <c r="E470" s="421">
        <f t="shared" si="188"/>
        <v>31000</v>
      </c>
      <c r="F470" s="421">
        <f t="shared" ref="F470:F472" si="189">SUM(F471)</f>
        <v>0</v>
      </c>
      <c r="G470" s="684">
        <f t="shared" si="184"/>
        <v>0</v>
      </c>
      <c r="H470" s="684">
        <f t="shared" si="185"/>
        <v>0</v>
      </c>
    </row>
    <row r="471" spans="1:9" x14ac:dyDescent="0.25">
      <c r="A471" s="422" t="s">
        <v>198</v>
      </c>
      <c r="B471" s="423" t="s">
        <v>199</v>
      </c>
      <c r="C471" s="424">
        <f t="shared" si="188"/>
        <v>9913.8700000000008</v>
      </c>
      <c r="D471" s="424">
        <f t="shared" si="188"/>
        <v>130587.66</v>
      </c>
      <c r="E471" s="424">
        <f t="shared" si="188"/>
        <v>31000</v>
      </c>
      <c r="F471" s="424">
        <f t="shared" si="189"/>
        <v>0</v>
      </c>
      <c r="G471" s="685">
        <f t="shared" si="184"/>
        <v>0</v>
      </c>
      <c r="H471" s="685">
        <f t="shared" si="185"/>
        <v>0</v>
      </c>
    </row>
    <row r="472" spans="1:9" x14ac:dyDescent="0.25">
      <c r="A472" s="425" t="s">
        <v>200</v>
      </c>
      <c r="B472" s="426" t="s">
        <v>199</v>
      </c>
      <c r="C472" s="424">
        <f t="shared" si="188"/>
        <v>9913.8700000000008</v>
      </c>
      <c r="D472" s="424">
        <f t="shared" si="188"/>
        <v>130587.66</v>
      </c>
      <c r="E472" s="424">
        <f t="shared" si="188"/>
        <v>31000</v>
      </c>
      <c r="F472" s="424">
        <f t="shared" si="189"/>
        <v>0</v>
      </c>
      <c r="G472" s="685">
        <f t="shared" si="184"/>
        <v>0</v>
      </c>
      <c r="H472" s="685">
        <f t="shared" si="185"/>
        <v>0</v>
      </c>
    </row>
    <row r="473" spans="1:9" ht="17.25" customHeight="1" x14ac:dyDescent="0.25">
      <c r="A473" s="425" t="s">
        <v>496</v>
      </c>
      <c r="B473" s="426" t="s">
        <v>199</v>
      </c>
      <c r="C473" s="429">
        <v>9913.8700000000008</v>
      </c>
      <c r="D473" s="429">
        <v>130587.66</v>
      </c>
      <c r="E473" s="429">
        <v>31000</v>
      </c>
      <c r="F473" s="429"/>
      <c r="G473" s="685">
        <f t="shared" si="184"/>
        <v>0</v>
      </c>
      <c r="H473" s="685">
        <f t="shared" si="185"/>
        <v>0</v>
      </c>
    </row>
    <row r="474" spans="1:9" s="776" customFormat="1" ht="56.25" x14ac:dyDescent="0.25">
      <c r="A474" s="469" t="s">
        <v>312</v>
      </c>
      <c r="B474" s="470" t="s">
        <v>355</v>
      </c>
      <c r="C474" s="471">
        <f t="shared" ref="C474:F475" si="190">C475</f>
        <v>2388.96</v>
      </c>
      <c r="D474" s="471">
        <f t="shared" si="190"/>
        <v>0</v>
      </c>
      <c r="E474" s="471">
        <f t="shared" si="190"/>
        <v>0</v>
      </c>
      <c r="F474" s="471">
        <f t="shared" si="190"/>
        <v>0</v>
      </c>
      <c r="G474" s="690" t="e">
        <f t="shared" si="184"/>
        <v>#DIV/0!</v>
      </c>
      <c r="H474" s="690" t="e">
        <f t="shared" si="185"/>
        <v>#DIV/0!</v>
      </c>
      <c r="I474" s="850"/>
    </row>
    <row r="475" spans="1:9" s="778" customFormat="1" x14ac:dyDescent="0.25">
      <c r="A475" s="454" t="s">
        <v>352</v>
      </c>
      <c r="B475" s="455" t="s">
        <v>353</v>
      </c>
      <c r="C475" s="688">
        <f t="shared" si="190"/>
        <v>2388.96</v>
      </c>
      <c r="D475" s="688">
        <f t="shared" si="190"/>
        <v>0</v>
      </c>
      <c r="E475" s="688">
        <f t="shared" si="190"/>
        <v>0</v>
      </c>
      <c r="F475" s="688">
        <f t="shared" si="190"/>
        <v>0</v>
      </c>
      <c r="G475" s="689" t="e">
        <f t="shared" si="184"/>
        <v>#DIV/0!</v>
      </c>
      <c r="H475" s="689" t="e">
        <f t="shared" si="185"/>
        <v>#DIV/0!</v>
      </c>
      <c r="I475" s="853"/>
    </row>
    <row r="476" spans="1:9" s="779" customFormat="1" x14ac:dyDescent="0.25">
      <c r="A476" s="467" t="s">
        <v>86</v>
      </c>
      <c r="B476" s="472" t="s">
        <v>87</v>
      </c>
      <c r="C476" s="447">
        <f>C477+C486</f>
        <v>2388.96</v>
      </c>
      <c r="D476" s="447">
        <f>D477+D486</f>
        <v>0</v>
      </c>
      <c r="E476" s="447">
        <f>E477+E486</f>
        <v>0</v>
      </c>
      <c r="F476" s="447">
        <f t="shared" ref="F476" si="191">F477+F486</f>
        <v>0</v>
      </c>
      <c r="G476" s="687" t="e">
        <f t="shared" si="184"/>
        <v>#DIV/0!</v>
      </c>
      <c r="H476" s="687" t="e">
        <f t="shared" si="185"/>
        <v>#DIV/0!</v>
      </c>
      <c r="I476" s="854"/>
    </row>
    <row r="477" spans="1:9" x14ac:dyDescent="0.25">
      <c r="A477" s="419">
        <v>31</v>
      </c>
      <c r="B477" s="420" t="s">
        <v>88</v>
      </c>
      <c r="C477" s="421">
        <f>C478+C481+C483</f>
        <v>2388.96</v>
      </c>
      <c r="D477" s="421">
        <f>D478+D481+D483</f>
        <v>0</v>
      </c>
      <c r="E477" s="421">
        <f>E478+E481+E483</f>
        <v>0</v>
      </c>
      <c r="F477" s="421">
        <f t="shared" ref="F477" si="192">F478+F481+F483</f>
        <v>0</v>
      </c>
      <c r="G477" s="684" t="e">
        <f t="shared" si="184"/>
        <v>#DIV/0!</v>
      </c>
      <c r="H477" s="684" t="e">
        <f t="shared" si="185"/>
        <v>#DIV/0!</v>
      </c>
    </row>
    <row r="478" spans="1:9" x14ac:dyDescent="0.25">
      <c r="A478" s="422">
        <v>311</v>
      </c>
      <c r="B478" s="423" t="s">
        <v>89</v>
      </c>
      <c r="C478" s="424">
        <f t="shared" ref="C478:E479" si="193">SUM(C479)</f>
        <v>2050.62</v>
      </c>
      <c r="D478" s="424">
        <f t="shared" si="193"/>
        <v>0</v>
      </c>
      <c r="E478" s="424">
        <f t="shared" si="193"/>
        <v>0</v>
      </c>
      <c r="F478" s="424">
        <f t="shared" ref="F478" si="194">F480</f>
        <v>0</v>
      </c>
      <c r="G478" s="685" t="e">
        <f t="shared" si="184"/>
        <v>#DIV/0!</v>
      </c>
      <c r="H478" s="685" t="e">
        <f t="shared" si="185"/>
        <v>#DIV/0!</v>
      </c>
    </row>
    <row r="479" spans="1:9" x14ac:dyDescent="0.25">
      <c r="A479" s="463">
        <v>3111</v>
      </c>
      <c r="B479" s="466" t="s">
        <v>90</v>
      </c>
      <c r="C479" s="424">
        <f t="shared" si="193"/>
        <v>2050.62</v>
      </c>
      <c r="D479" s="424">
        <f t="shared" si="193"/>
        <v>0</v>
      </c>
      <c r="E479" s="424">
        <f t="shared" si="193"/>
        <v>0</v>
      </c>
      <c r="F479" s="424">
        <f t="shared" ref="F479" si="195">SUM(F480)</f>
        <v>0</v>
      </c>
      <c r="G479" s="685" t="e">
        <f t="shared" si="184"/>
        <v>#DIV/0!</v>
      </c>
      <c r="H479" s="685" t="e">
        <f t="shared" si="185"/>
        <v>#DIV/0!</v>
      </c>
    </row>
    <row r="480" spans="1:9" x14ac:dyDescent="0.25">
      <c r="A480" s="425" t="s">
        <v>466</v>
      </c>
      <c r="B480" s="426" t="s">
        <v>90</v>
      </c>
      <c r="C480" s="429">
        <v>2050.62</v>
      </c>
      <c r="D480" s="429">
        <v>0</v>
      </c>
      <c r="E480" s="429"/>
      <c r="F480" s="429"/>
      <c r="G480" s="685" t="e">
        <f t="shared" si="184"/>
        <v>#DIV/0!</v>
      </c>
      <c r="H480" s="685" t="e">
        <f t="shared" si="185"/>
        <v>#DIV/0!</v>
      </c>
    </row>
    <row r="481" spans="1:10" hidden="1" x14ac:dyDescent="0.25">
      <c r="A481" s="422" t="s">
        <v>97</v>
      </c>
      <c r="B481" s="423" t="s">
        <v>98</v>
      </c>
      <c r="C481" s="424">
        <f>C482</f>
        <v>0</v>
      </c>
      <c r="D481" s="424">
        <f>D482</f>
        <v>0</v>
      </c>
      <c r="E481" s="424">
        <f>E482</f>
        <v>0</v>
      </c>
      <c r="F481" s="424">
        <f t="shared" ref="F481" si="196">F482</f>
        <v>0</v>
      </c>
      <c r="G481" s="685" t="e">
        <f t="shared" si="184"/>
        <v>#DIV/0!</v>
      </c>
      <c r="H481" s="685" t="e">
        <f t="shared" si="185"/>
        <v>#DIV/0!</v>
      </c>
    </row>
    <row r="482" spans="1:10" hidden="1" x14ac:dyDescent="0.25">
      <c r="A482" s="425" t="s">
        <v>99</v>
      </c>
      <c r="B482" s="426" t="s">
        <v>98</v>
      </c>
      <c r="C482" s="429"/>
      <c r="D482" s="429"/>
      <c r="E482" s="429"/>
      <c r="F482" s="429"/>
      <c r="G482" s="685" t="e">
        <f t="shared" si="184"/>
        <v>#DIV/0!</v>
      </c>
      <c r="H482" s="685" t="e">
        <f t="shared" si="185"/>
        <v>#DIV/0!</v>
      </c>
    </row>
    <row r="483" spans="1:10" x14ac:dyDescent="0.25">
      <c r="A483" s="422" t="s">
        <v>212</v>
      </c>
      <c r="B483" s="423" t="s">
        <v>100</v>
      </c>
      <c r="C483" s="424">
        <f t="shared" ref="C483:E484" si="197">SUM(C484)</f>
        <v>338.34</v>
      </c>
      <c r="D483" s="424">
        <f t="shared" si="197"/>
        <v>0</v>
      </c>
      <c r="E483" s="424">
        <f t="shared" si="197"/>
        <v>0</v>
      </c>
      <c r="F483" s="424">
        <f t="shared" ref="F483:F484" si="198">SUM(F484)</f>
        <v>0</v>
      </c>
      <c r="G483" s="685" t="e">
        <f t="shared" si="184"/>
        <v>#DIV/0!</v>
      </c>
      <c r="H483" s="685" t="e">
        <f t="shared" si="185"/>
        <v>#DIV/0!</v>
      </c>
    </row>
    <row r="484" spans="1:10" x14ac:dyDescent="0.25">
      <c r="A484" s="463" t="s">
        <v>213</v>
      </c>
      <c r="B484" s="466" t="s">
        <v>101</v>
      </c>
      <c r="C484" s="424">
        <f t="shared" si="197"/>
        <v>338.34</v>
      </c>
      <c r="D484" s="424">
        <f t="shared" si="197"/>
        <v>0</v>
      </c>
      <c r="E484" s="424">
        <f t="shared" si="197"/>
        <v>0</v>
      </c>
      <c r="F484" s="424">
        <f t="shared" si="198"/>
        <v>0</v>
      </c>
      <c r="G484" s="685" t="e">
        <f t="shared" si="184"/>
        <v>#DIV/0!</v>
      </c>
      <c r="H484" s="685" t="e">
        <f t="shared" si="185"/>
        <v>#DIV/0!</v>
      </c>
    </row>
    <row r="485" spans="1:10" x14ac:dyDescent="0.25">
      <c r="A485" s="425" t="s">
        <v>476</v>
      </c>
      <c r="B485" s="426" t="s">
        <v>101</v>
      </c>
      <c r="C485" s="429">
        <v>338.34</v>
      </c>
      <c r="D485" s="429">
        <v>0</v>
      </c>
      <c r="E485" s="429"/>
      <c r="F485" s="429"/>
      <c r="G485" s="685" t="e">
        <f t="shared" si="184"/>
        <v>#DIV/0!</v>
      </c>
      <c r="H485" s="685" t="e">
        <f t="shared" si="185"/>
        <v>#DIV/0!</v>
      </c>
    </row>
    <row r="486" spans="1:10" s="764" customFormat="1" hidden="1" x14ac:dyDescent="0.25">
      <c r="A486" s="419" t="s">
        <v>356</v>
      </c>
      <c r="B486" s="460" t="s">
        <v>102</v>
      </c>
      <c r="C486" s="421">
        <f>C487+C489+C491</f>
        <v>0</v>
      </c>
      <c r="D486" s="421">
        <f>D487+D489+D491</f>
        <v>0</v>
      </c>
      <c r="E486" s="421">
        <f>E487+E489+E491</f>
        <v>0</v>
      </c>
      <c r="F486" s="421">
        <f t="shared" ref="F486" si="199">F487+F489+F491</f>
        <v>0</v>
      </c>
      <c r="G486" s="685" t="e">
        <f t="shared" si="184"/>
        <v>#DIV/0!</v>
      </c>
      <c r="H486" s="685" t="e">
        <f t="shared" si="185"/>
        <v>#DIV/0!</v>
      </c>
      <c r="I486" s="837"/>
    </row>
    <row r="487" spans="1:10" s="764" customFormat="1" hidden="1" x14ac:dyDescent="0.25">
      <c r="A487" s="422" t="s">
        <v>215</v>
      </c>
      <c r="B487" s="423" t="s">
        <v>103</v>
      </c>
      <c r="C487" s="424">
        <f>C488</f>
        <v>0</v>
      </c>
      <c r="D487" s="424">
        <f>D488</f>
        <v>0</v>
      </c>
      <c r="E487" s="424">
        <f>E488</f>
        <v>0</v>
      </c>
      <c r="F487" s="424">
        <f t="shared" ref="F487" si="200">F488</f>
        <v>0</v>
      </c>
      <c r="G487" s="685" t="e">
        <f t="shared" si="184"/>
        <v>#DIV/0!</v>
      </c>
      <c r="H487" s="685" t="e">
        <f t="shared" si="185"/>
        <v>#DIV/0!</v>
      </c>
      <c r="I487" s="837"/>
    </row>
    <row r="488" spans="1:10" hidden="1" x14ac:dyDescent="0.25">
      <c r="A488" s="425" t="s">
        <v>106</v>
      </c>
      <c r="B488" s="426" t="s">
        <v>107</v>
      </c>
      <c r="C488" s="429"/>
      <c r="D488" s="429"/>
      <c r="E488" s="429"/>
      <c r="F488" s="429"/>
      <c r="G488" s="685" t="e">
        <f t="shared" si="184"/>
        <v>#DIV/0!</v>
      </c>
      <c r="H488" s="685" t="e">
        <f t="shared" si="185"/>
        <v>#DIV/0!</v>
      </c>
    </row>
    <row r="489" spans="1:10" s="764" customFormat="1" hidden="1" x14ac:dyDescent="0.25">
      <c r="A489" s="422" t="s">
        <v>112</v>
      </c>
      <c r="B489" s="423" t="s">
        <v>113</v>
      </c>
      <c r="C489" s="424">
        <f>C490</f>
        <v>0</v>
      </c>
      <c r="D489" s="424">
        <f>D490</f>
        <v>0</v>
      </c>
      <c r="E489" s="424">
        <f>E490</f>
        <v>0</v>
      </c>
      <c r="F489" s="424">
        <f t="shared" ref="F489" si="201">F490</f>
        <v>0</v>
      </c>
      <c r="G489" s="685" t="e">
        <f t="shared" si="184"/>
        <v>#DIV/0!</v>
      </c>
      <c r="H489" s="685" t="e">
        <f t="shared" si="185"/>
        <v>#DIV/0!</v>
      </c>
      <c r="I489" s="837"/>
    </row>
    <row r="490" spans="1:10" hidden="1" x14ac:dyDescent="0.25">
      <c r="A490" s="425" t="s">
        <v>118</v>
      </c>
      <c r="B490" s="426" t="s">
        <v>119</v>
      </c>
      <c r="C490" s="429"/>
      <c r="D490" s="429"/>
      <c r="E490" s="429"/>
      <c r="F490" s="429"/>
      <c r="G490" s="685" t="e">
        <f t="shared" si="184"/>
        <v>#DIV/0!</v>
      </c>
      <c r="H490" s="685" t="e">
        <f t="shared" si="185"/>
        <v>#DIV/0!</v>
      </c>
    </row>
    <row r="491" spans="1:10" s="764" customFormat="1" hidden="1" x14ac:dyDescent="0.25">
      <c r="A491" s="422" t="s">
        <v>126</v>
      </c>
      <c r="B491" s="423" t="s">
        <v>127</v>
      </c>
      <c r="C491" s="424">
        <f>C492</f>
        <v>0</v>
      </c>
      <c r="D491" s="424">
        <f>D492</f>
        <v>0</v>
      </c>
      <c r="E491" s="424">
        <f>E492</f>
        <v>0</v>
      </c>
      <c r="F491" s="424">
        <f t="shared" ref="F491" si="202">F492</f>
        <v>0</v>
      </c>
      <c r="G491" s="685" t="e">
        <f t="shared" si="184"/>
        <v>#DIV/0!</v>
      </c>
      <c r="H491" s="685" t="e">
        <f t="shared" si="185"/>
        <v>#DIV/0!</v>
      </c>
      <c r="I491" s="837"/>
    </row>
    <row r="492" spans="1:10" hidden="1" x14ac:dyDescent="0.25">
      <c r="A492" s="425" t="s">
        <v>132</v>
      </c>
      <c r="B492" s="426" t="s">
        <v>133</v>
      </c>
      <c r="C492" s="429"/>
      <c r="D492" s="429"/>
      <c r="E492" s="429"/>
      <c r="F492" s="429"/>
      <c r="G492" s="685" t="e">
        <f t="shared" si="184"/>
        <v>#DIV/0!</v>
      </c>
      <c r="H492" s="685" t="e">
        <f t="shared" si="185"/>
        <v>#DIV/0!</v>
      </c>
    </row>
    <row r="493" spans="1:10" s="776" customFormat="1" ht="56.25" x14ac:dyDescent="0.25">
      <c r="A493" s="469" t="s">
        <v>312</v>
      </c>
      <c r="B493" s="470" t="s">
        <v>357</v>
      </c>
      <c r="C493" s="418">
        <f t="shared" ref="C493:E494" si="203">C494</f>
        <v>2388.96</v>
      </c>
      <c r="D493" s="418">
        <f t="shared" si="203"/>
        <v>4778.0199999999995</v>
      </c>
      <c r="E493" s="418">
        <f t="shared" si="203"/>
        <v>4778.0199999999995</v>
      </c>
      <c r="F493" s="418">
        <f t="shared" ref="F493:F494" si="204">F494</f>
        <v>2388.96</v>
      </c>
      <c r="G493" s="682">
        <f t="shared" si="184"/>
        <v>49.998953541425116</v>
      </c>
      <c r="H493" s="682">
        <f t="shared" si="185"/>
        <v>49.998953541425116</v>
      </c>
      <c r="I493" s="850">
        <f>F493+F512</f>
        <v>4588.96</v>
      </c>
      <c r="J493" s="797"/>
    </row>
    <row r="494" spans="1:10" s="825" customFormat="1" ht="15" x14ac:dyDescent="0.25">
      <c r="A494" s="454" t="s">
        <v>352</v>
      </c>
      <c r="B494" s="455" t="s">
        <v>353</v>
      </c>
      <c r="C494" s="688">
        <f t="shared" si="203"/>
        <v>2388.96</v>
      </c>
      <c r="D494" s="688">
        <f t="shared" si="203"/>
        <v>4778.0199999999995</v>
      </c>
      <c r="E494" s="688">
        <f t="shared" si="203"/>
        <v>4778.0199999999995</v>
      </c>
      <c r="F494" s="688">
        <f t="shared" si="204"/>
        <v>2388.96</v>
      </c>
      <c r="G494" s="689">
        <f t="shared" si="184"/>
        <v>49.998953541425116</v>
      </c>
      <c r="H494" s="689">
        <f t="shared" si="185"/>
        <v>49.998953541425116</v>
      </c>
      <c r="I494" s="855"/>
    </row>
    <row r="495" spans="1:10" s="779" customFormat="1" x14ac:dyDescent="0.25">
      <c r="A495" s="467" t="s">
        <v>86</v>
      </c>
      <c r="B495" s="472" t="s">
        <v>87</v>
      </c>
      <c r="C495" s="447">
        <f>C496+C505</f>
        <v>2388.96</v>
      </c>
      <c r="D495" s="447">
        <f>D496+D505</f>
        <v>4778.0199999999995</v>
      </c>
      <c r="E495" s="447">
        <f>E496+E505</f>
        <v>4778.0199999999995</v>
      </c>
      <c r="F495" s="447">
        <f t="shared" ref="F495" si="205">F496+F505</f>
        <v>2388.96</v>
      </c>
      <c r="G495" s="687">
        <f t="shared" si="184"/>
        <v>49.998953541425116</v>
      </c>
      <c r="H495" s="687">
        <f t="shared" si="185"/>
        <v>49.998953541425116</v>
      </c>
      <c r="I495" s="854"/>
    </row>
    <row r="496" spans="1:10" x14ac:dyDescent="0.25">
      <c r="A496" s="419">
        <v>31</v>
      </c>
      <c r="B496" s="420" t="s">
        <v>88</v>
      </c>
      <c r="C496" s="421">
        <f>C497+C500+C502</f>
        <v>2388.96</v>
      </c>
      <c r="D496" s="421">
        <f>D497+D500+D502</f>
        <v>4778.0199999999995</v>
      </c>
      <c r="E496" s="421">
        <f>E497+E500+E502</f>
        <v>4778.0199999999995</v>
      </c>
      <c r="F496" s="421">
        <f t="shared" ref="F496" si="206">F497+F500+F502</f>
        <v>2388.96</v>
      </c>
      <c r="G496" s="684">
        <f t="shared" si="184"/>
        <v>49.998953541425116</v>
      </c>
      <c r="H496" s="684">
        <f t="shared" si="185"/>
        <v>49.998953541425116</v>
      </c>
    </row>
    <row r="497" spans="1:9" x14ac:dyDescent="0.25">
      <c r="A497" s="422">
        <v>311</v>
      </c>
      <c r="B497" s="423" t="s">
        <v>89</v>
      </c>
      <c r="C497" s="424">
        <f t="shared" ref="C497:E498" si="207">SUM(C498)</f>
        <v>2050.62</v>
      </c>
      <c r="D497" s="424">
        <f t="shared" si="207"/>
        <v>4101.32</v>
      </c>
      <c r="E497" s="424">
        <f t="shared" si="207"/>
        <v>4101.32</v>
      </c>
      <c r="F497" s="424">
        <f t="shared" ref="F497:F498" si="208">SUM(F498)</f>
        <v>2050.62</v>
      </c>
      <c r="G497" s="685">
        <f t="shared" si="184"/>
        <v>49.999024704241563</v>
      </c>
      <c r="H497" s="685">
        <f t="shared" si="185"/>
        <v>49.999024704241563</v>
      </c>
    </row>
    <row r="498" spans="1:9" x14ac:dyDescent="0.25">
      <c r="A498" s="463">
        <v>3111</v>
      </c>
      <c r="B498" s="466" t="s">
        <v>90</v>
      </c>
      <c r="C498" s="424">
        <f t="shared" si="207"/>
        <v>2050.62</v>
      </c>
      <c r="D498" s="424">
        <f t="shared" si="207"/>
        <v>4101.32</v>
      </c>
      <c r="E498" s="424">
        <f t="shared" si="207"/>
        <v>4101.32</v>
      </c>
      <c r="F498" s="424">
        <f t="shared" si="208"/>
        <v>2050.62</v>
      </c>
      <c r="G498" s="685">
        <f t="shared" si="184"/>
        <v>49.999024704241563</v>
      </c>
      <c r="H498" s="685">
        <f t="shared" si="185"/>
        <v>49.999024704241563</v>
      </c>
    </row>
    <row r="499" spans="1:9" x14ac:dyDescent="0.25">
      <c r="A499" s="425" t="s">
        <v>466</v>
      </c>
      <c r="B499" s="426" t="s">
        <v>90</v>
      </c>
      <c r="C499" s="429">
        <v>2050.62</v>
      </c>
      <c r="D499" s="429">
        <v>4101.32</v>
      </c>
      <c r="E499" s="429">
        <v>4101.32</v>
      </c>
      <c r="F499" s="429">
        <v>2050.62</v>
      </c>
      <c r="G499" s="685">
        <f t="shared" si="184"/>
        <v>49.999024704241563</v>
      </c>
      <c r="H499" s="685">
        <f t="shared" si="185"/>
        <v>49.999024704241563</v>
      </c>
    </row>
    <row r="500" spans="1:9" hidden="1" x14ac:dyDescent="0.25">
      <c r="A500" s="422" t="s">
        <v>97</v>
      </c>
      <c r="B500" s="423" t="s">
        <v>98</v>
      </c>
      <c r="C500" s="424">
        <f>C501</f>
        <v>0</v>
      </c>
      <c r="D500" s="424">
        <f>D501</f>
        <v>0</v>
      </c>
      <c r="E500" s="424">
        <f>E501</f>
        <v>0</v>
      </c>
      <c r="F500" s="424">
        <f t="shared" ref="F500" si="209">F501</f>
        <v>0</v>
      </c>
      <c r="G500" s="685" t="e">
        <f t="shared" si="184"/>
        <v>#DIV/0!</v>
      </c>
      <c r="H500" s="685" t="e">
        <f t="shared" si="185"/>
        <v>#DIV/0!</v>
      </c>
    </row>
    <row r="501" spans="1:9" hidden="1" x14ac:dyDescent="0.25">
      <c r="A501" s="425" t="s">
        <v>99</v>
      </c>
      <c r="B501" s="426" t="s">
        <v>98</v>
      </c>
      <c r="C501" s="429"/>
      <c r="D501" s="429"/>
      <c r="E501" s="429"/>
      <c r="F501" s="429"/>
      <c r="G501" s="685" t="e">
        <f t="shared" si="184"/>
        <v>#DIV/0!</v>
      </c>
      <c r="H501" s="685" t="e">
        <f t="shared" si="185"/>
        <v>#DIV/0!</v>
      </c>
    </row>
    <row r="502" spans="1:9" x14ac:dyDescent="0.25">
      <c r="A502" s="422" t="s">
        <v>212</v>
      </c>
      <c r="B502" s="423" t="s">
        <v>100</v>
      </c>
      <c r="C502" s="424">
        <f t="shared" ref="C502:E503" si="210">SUM(C503)</f>
        <v>338.34</v>
      </c>
      <c r="D502" s="424">
        <f t="shared" si="210"/>
        <v>676.7</v>
      </c>
      <c r="E502" s="424">
        <f t="shared" si="210"/>
        <v>676.7</v>
      </c>
      <c r="F502" s="424">
        <f t="shared" ref="F502:F503" si="211">SUM(F503)</f>
        <v>338.34</v>
      </c>
      <c r="G502" s="685">
        <f t="shared" si="184"/>
        <v>49.998522240283719</v>
      </c>
      <c r="H502" s="685">
        <f t="shared" si="185"/>
        <v>49.998522240283719</v>
      </c>
    </row>
    <row r="503" spans="1:9" x14ac:dyDescent="0.25">
      <c r="A503" s="463" t="s">
        <v>213</v>
      </c>
      <c r="B503" s="466" t="s">
        <v>101</v>
      </c>
      <c r="C503" s="424">
        <f t="shared" si="210"/>
        <v>338.34</v>
      </c>
      <c r="D503" s="424">
        <f t="shared" si="210"/>
        <v>676.7</v>
      </c>
      <c r="E503" s="424">
        <f t="shared" si="210"/>
        <v>676.7</v>
      </c>
      <c r="F503" s="424">
        <f t="shared" si="211"/>
        <v>338.34</v>
      </c>
      <c r="G503" s="685">
        <f t="shared" si="184"/>
        <v>49.998522240283719</v>
      </c>
      <c r="H503" s="685">
        <f t="shared" si="185"/>
        <v>49.998522240283719</v>
      </c>
    </row>
    <row r="504" spans="1:9" x14ac:dyDescent="0.25">
      <c r="A504" s="425" t="s">
        <v>476</v>
      </c>
      <c r="B504" s="426" t="s">
        <v>101</v>
      </c>
      <c r="C504" s="429">
        <v>338.34</v>
      </c>
      <c r="D504" s="429">
        <v>676.7</v>
      </c>
      <c r="E504" s="429">
        <v>676.7</v>
      </c>
      <c r="F504" s="429">
        <v>338.34</v>
      </c>
      <c r="G504" s="685">
        <f t="shared" si="184"/>
        <v>49.998522240283719</v>
      </c>
      <c r="H504" s="685">
        <f t="shared" si="185"/>
        <v>49.998522240283719</v>
      </c>
    </row>
    <row r="505" spans="1:9" s="764" customFormat="1" hidden="1" x14ac:dyDescent="0.25">
      <c r="A505" s="419" t="s">
        <v>356</v>
      </c>
      <c r="B505" s="460" t="s">
        <v>102</v>
      </c>
      <c r="C505" s="421">
        <f>C506+C508+C510</f>
        <v>0</v>
      </c>
      <c r="D505" s="421">
        <f>D506+D508+D510</f>
        <v>0</v>
      </c>
      <c r="E505" s="421">
        <f>E506+E508+E510</f>
        <v>0</v>
      </c>
      <c r="F505" s="421">
        <f t="shared" ref="F505" si="212">F506+F508+F510</f>
        <v>0</v>
      </c>
      <c r="G505" s="685" t="e">
        <f t="shared" si="184"/>
        <v>#DIV/0!</v>
      </c>
      <c r="H505" s="685" t="e">
        <f t="shared" si="185"/>
        <v>#DIV/0!</v>
      </c>
      <c r="I505" s="837"/>
    </row>
    <row r="506" spans="1:9" s="764" customFormat="1" hidden="1" x14ac:dyDescent="0.25">
      <c r="A506" s="422" t="s">
        <v>215</v>
      </c>
      <c r="B506" s="423" t="s">
        <v>103</v>
      </c>
      <c r="C506" s="424">
        <f>C507</f>
        <v>0</v>
      </c>
      <c r="D506" s="424">
        <f>D507</f>
        <v>0</v>
      </c>
      <c r="E506" s="424">
        <f>E507</f>
        <v>0</v>
      </c>
      <c r="F506" s="424">
        <f t="shared" ref="F506" si="213">F507</f>
        <v>0</v>
      </c>
      <c r="G506" s="685" t="e">
        <f t="shared" si="184"/>
        <v>#DIV/0!</v>
      </c>
      <c r="H506" s="685" t="e">
        <f t="shared" si="185"/>
        <v>#DIV/0!</v>
      </c>
      <c r="I506" s="837"/>
    </row>
    <row r="507" spans="1:9" hidden="1" x14ac:dyDescent="0.25">
      <c r="A507" s="425" t="s">
        <v>106</v>
      </c>
      <c r="B507" s="426" t="s">
        <v>107</v>
      </c>
      <c r="C507" s="429"/>
      <c r="D507" s="429"/>
      <c r="E507" s="429"/>
      <c r="F507" s="429"/>
      <c r="G507" s="685" t="e">
        <f t="shared" si="184"/>
        <v>#DIV/0!</v>
      </c>
      <c r="H507" s="685" t="e">
        <f t="shared" si="185"/>
        <v>#DIV/0!</v>
      </c>
    </row>
    <row r="508" spans="1:9" s="764" customFormat="1" hidden="1" x14ac:dyDescent="0.25">
      <c r="A508" s="422" t="s">
        <v>112</v>
      </c>
      <c r="B508" s="423" t="s">
        <v>113</v>
      </c>
      <c r="C508" s="424">
        <f>C509</f>
        <v>0</v>
      </c>
      <c r="D508" s="424">
        <f>D509</f>
        <v>0</v>
      </c>
      <c r="E508" s="424">
        <f>E509</f>
        <v>0</v>
      </c>
      <c r="F508" s="424">
        <f t="shared" ref="F508" si="214">F509</f>
        <v>0</v>
      </c>
      <c r="G508" s="685" t="e">
        <f t="shared" si="184"/>
        <v>#DIV/0!</v>
      </c>
      <c r="H508" s="685" t="e">
        <f t="shared" si="185"/>
        <v>#DIV/0!</v>
      </c>
      <c r="I508" s="837"/>
    </row>
    <row r="509" spans="1:9" hidden="1" x14ac:dyDescent="0.25">
      <c r="A509" s="425" t="s">
        <v>118</v>
      </c>
      <c r="B509" s="426" t="s">
        <v>119</v>
      </c>
      <c r="C509" s="429"/>
      <c r="D509" s="429"/>
      <c r="E509" s="429"/>
      <c r="F509" s="429"/>
      <c r="G509" s="685" t="e">
        <f t="shared" si="184"/>
        <v>#DIV/0!</v>
      </c>
      <c r="H509" s="685" t="e">
        <f t="shared" si="185"/>
        <v>#DIV/0!</v>
      </c>
    </row>
    <row r="510" spans="1:9" s="764" customFormat="1" hidden="1" x14ac:dyDescent="0.25">
      <c r="A510" s="422" t="s">
        <v>126</v>
      </c>
      <c r="B510" s="423" t="s">
        <v>127</v>
      </c>
      <c r="C510" s="424">
        <f>C511</f>
        <v>0</v>
      </c>
      <c r="D510" s="424">
        <f>D511</f>
        <v>0</v>
      </c>
      <c r="E510" s="424">
        <f>E511</f>
        <v>0</v>
      </c>
      <c r="F510" s="424">
        <f t="shared" ref="F510" si="215">F511</f>
        <v>0</v>
      </c>
      <c r="G510" s="685" t="e">
        <f t="shared" si="184"/>
        <v>#DIV/0!</v>
      </c>
      <c r="H510" s="685" t="e">
        <f t="shared" si="185"/>
        <v>#DIV/0!</v>
      </c>
      <c r="I510" s="837"/>
    </row>
    <row r="511" spans="1:9" hidden="1" x14ac:dyDescent="0.25">
      <c r="A511" s="425" t="s">
        <v>132</v>
      </c>
      <c r="B511" s="426" t="s">
        <v>133</v>
      </c>
      <c r="C511" s="429"/>
      <c r="D511" s="429"/>
      <c r="E511" s="429"/>
      <c r="F511" s="429"/>
      <c r="G511" s="685" t="e">
        <f t="shared" si="184"/>
        <v>#DIV/0!</v>
      </c>
      <c r="H511" s="685" t="e">
        <f t="shared" si="185"/>
        <v>#DIV/0!</v>
      </c>
    </row>
    <row r="512" spans="1:9" s="776" customFormat="1" ht="56.25" x14ac:dyDescent="0.25">
      <c r="A512" s="469" t="s">
        <v>312</v>
      </c>
      <c r="B512" s="470" t="s">
        <v>358</v>
      </c>
      <c r="C512" s="418">
        <f t="shared" ref="C512:E513" si="216">C513</f>
        <v>0</v>
      </c>
      <c r="D512" s="418">
        <f t="shared" si="216"/>
        <v>2200</v>
      </c>
      <c r="E512" s="418">
        <f t="shared" si="216"/>
        <v>2200</v>
      </c>
      <c r="F512" s="418">
        <f t="shared" ref="F512:F513" si="217">F513</f>
        <v>2200</v>
      </c>
      <c r="G512" s="682">
        <f t="shared" si="184"/>
        <v>100</v>
      </c>
      <c r="H512" s="682">
        <f t="shared" si="185"/>
        <v>100</v>
      </c>
      <c r="I512" s="850"/>
    </row>
    <row r="513" spans="1:9" s="825" customFormat="1" ht="15" x14ac:dyDescent="0.25">
      <c r="A513" s="454" t="s">
        <v>352</v>
      </c>
      <c r="B513" s="455" t="s">
        <v>353</v>
      </c>
      <c r="C513" s="688">
        <f t="shared" si="216"/>
        <v>0</v>
      </c>
      <c r="D513" s="688">
        <f t="shared" si="216"/>
        <v>2200</v>
      </c>
      <c r="E513" s="688">
        <f t="shared" si="216"/>
        <v>2200</v>
      </c>
      <c r="F513" s="688">
        <f t="shared" si="217"/>
        <v>2200</v>
      </c>
      <c r="G513" s="689">
        <f t="shared" si="184"/>
        <v>100</v>
      </c>
      <c r="H513" s="689">
        <f t="shared" si="185"/>
        <v>100</v>
      </c>
      <c r="I513" s="855"/>
    </row>
    <row r="514" spans="1:9" s="779" customFormat="1" x14ac:dyDescent="0.25">
      <c r="A514" s="467" t="s">
        <v>86</v>
      </c>
      <c r="B514" s="472" t="s">
        <v>87</v>
      </c>
      <c r="C514" s="447">
        <f>C515+C524</f>
        <v>0</v>
      </c>
      <c r="D514" s="447">
        <f>D515+D524</f>
        <v>2200</v>
      </c>
      <c r="E514" s="447">
        <f>E515+E524</f>
        <v>2200</v>
      </c>
      <c r="F514" s="447">
        <f t="shared" ref="F514" si="218">F515+F524</f>
        <v>2200</v>
      </c>
      <c r="G514" s="687">
        <f t="shared" si="184"/>
        <v>100</v>
      </c>
      <c r="H514" s="687">
        <f t="shared" si="185"/>
        <v>100</v>
      </c>
      <c r="I514" s="854"/>
    </row>
    <row r="515" spans="1:9" x14ac:dyDescent="0.25">
      <c r="A515" s="419">
        <v>31</v>
      </c>
      <c r="B515" s="420" t="s">
        <v>88</v>
      </c>
      <c r="C515" s="421">
        <f>C516+C519+C521</f>
        <v>0</v>
      </c>
      <c r="D515" s="421">
        <f>D516+D519+D521</f>
        <v>2200</v>
      </c>
      <c r="E515" s="421">
        <f>E516+E519+E521</f>
        <v>2200</v>
      </c>
      <c r="F515" s="421">
        <f t="shared" ref="F515" si="219">F516+F519+F521</f>
        <v>2200</v>
      </c>
      <c r="G515" s="684">
        <f t="shared" si="184"/>
        <v>100</v>
      </c>
      <c r="H515" s="684">
        <f t="shared" si="185"/>
        <v>100</v>
      </c>
    </row>
    <row r="516" spans="1:9" x14ac:dyDescent="0.25">
      <c r="A516" s="422">
        <v>311</v>
      </c>
      <c r="B516" s="423" t="s">
        <v>89</v>
      </c>
      <c r="C516" s="424">
        <f t="shared" ref="C516:E517" si="220">SUM(C517)</f>
        <v>0</v>
      </c>
      <c r="D516" s="424">
        <f t="shared" si="220"/>
        <v>1888.41</v>
      </c>
      <c r="E516" s="424">
        <f t="shared" si="220"/>
        <v>1888.41</v>
      </c>
      <c r="F516" s="424">
        <f t="shared" ref="F516:F517" si="221">SUM(F517)</f>
        <v>1888.41</v>
      </c>
      <c r="G516" s="685">
        <f t="shared" si="184"/>
        <v>100</v>
      </c>
      <c r="H516" s="685">
        <f t="shared" si="185"/>
        <v>100</v>
      </c>
    </row>
    <row r="517" spans="1:9" x14ac:dyDescent="0.25">
      <c r="A517" s="463">
        <v>3111</v>
      </c>
      <c r="B517" s="466" t="s">
        <v>90</v>
      </c>
      <c r="C517" s="424">
        <f t="shared" si="220"/>
        <v>0</v>
      </c>
      <c r="D517" s="424">
        <f t="shared" si="220"/>
        <v>1888.41</v>
      </c>
      <c r="E517" s="424">
        <f t="shared" si="220"/>
        <v>1888.41</v>
      </c>
      <c r="F517" s="424">
        <f t="shared" si="221"/>
        <v>1888.41</v>
      </c>
      <c r="G517" s="685">
        <f t="shared" si="184"/>
        <v>100</v>
      </c>
      <c r="H517" s="685">
        <f t="shared" si="185"/>
        <v>100</v>
      </c>
    </row>
    <row r="518" spans="1:9" x14ac:dyDescent="0.25">
      <c r="A518" s="425" t="s">
        <v>466</v>
      </c>
      <c r="B518" s="426" t="s">
        <v>90</v>
      </c>
      <c r="C518" s="429">
        <v>0</v>
      </c>
      <c r="D518" s="429">
        <v>1888.41</v>
      </c>
      <c r="E518" s="429">
        <v>1888.41</v>
      </c>
      <c r="F518" s="429">
        <v>1888.41</v>
      </c>
      <c r="G518" s="685">
        <f t="shared" si="184"/>
        <v>100</v>
      </c>
      <c r="H518" s="685">
        <f t="shared" si="185"/>
        <v>100</v>
      </c>
    </row>
    <row r="519" spans="1:9" hidden="1" x14ac:dyDescent="0.25">
      <c r="A519" s="422" t="s">
        <v>97</v>
      </c>
      <c r="B519" s="423" t="s">
        <v>98</v>
      </c>
      <c r="C519" s="424">
        <f>C520</f>
        <v>0</v>
      </c>
      <c r="D519" s="424">
        <f>D520</f>
        <v>0</v>
      </c>
      <c r="E519" s="424">
        <f>E520</f>
        <v>0</v>
      </c>
      <c r="F519" s="424">
        <f t="shared" ref="F519" si="222">F520</f>
        <v>0</v>
      </c>
      <c r="G519" s="685" t="e">
        <f t="shared" si="184"/>
        <v>#DIV/0!</v>
      </c>
      <c r="H519" s="685" t="e">
        <f t="shared" si="185"/>
        <v>#DIV/0!</v>
      </c>
    </row>
    <row r="520" spans="1:9" hidden="1" x14ac:dyDescent="0.25">
      <c r="A520" s="425" t="s">
        <v>99</v>
      </c>
      <c r="B520" s="426" t="s">
        <v>98</v>
      </c>
      <c r="C520" s="429"/>
      <c r="D520" s="429"/>
      <c r="E520" s="429"/>
      <c r="F520" s="429"/>
      <c r="G520" s="685" t="e">
        <f t="shared" si="184"/>
        <v>#DIV/0!</v>
      </c>
      <c r="H520" s="685" t="e">
        <f t="shared" si="185"/>
        <v>#DIV/0!</v>
      </c>
    </row>
    <row r="521" spans="1:9" x14ac:dyDescent="0.25">
      <c r="A521" s="422" t="s">
        <v>212</v>
      </c>
      <c r="B521" s="423" t="s">
        <v>100</v>
      </c>
      <c r="C521" s="424">
        <f t="shared" ref="C521:E522" si="223">SUM(C522)</f>
        <v>0</v>
      </c>
      <c r="D521" s="424">
        <f t="shared" si="223"/>
        <v>311.58999999999997</v>
      </c>
      <c r="E521" s="424">
        <f t="shared" si="223"/>
        <v>311.58999999999997</v>
      </c>
      <c r="F521" s="424">
        <f t="shared" ref="F521:F522" si="224">SUM(F522)</f>
        <v>311.58999999999997</v>
      </c>
      <c r="G521" s="685">
        <f t="shared" si="184"/>
        <v>100</v>
      </c>
      <c r="H521" s="685">
        <f t="shared" si="185"/>
        <v>100</v>
      </c>
    </row>
    <row r="522" spans="1:9" x14ac:dyDescent="0.25">
      <c r="A522" s="463" t="s">
        <v>213</v>
      </c>
      <c r="B522" s="466" t="s">
        <v>101</v>
      </c>
      <c r="C522" s="424">
        <f t="shared" si="223"/>
        <v>0</v>
      </c>
      <c r="D522" s="424">
        <f t="shared" si="223"/>
        <v>311.58999999999997</v>
      </c>
      <c r="E522" s="424">
        <f t="shared" si="223"/>
        <v>311.58999999999997</v>
      </c>
      <c r="F522" s="424">
        <f t="shared" si="224"/>
        <v>311.58999999999997</v>
      </c>
      <c r="G522" s="685">
        <f t="shared" si="184"/>
        <v>100</v>
      </c>
      <c r="H522" s="685">
        <f t="shared" si="185"/>
        <v>100</v>
      </c>
    </row>
    <row r="523" spans="1:9" x14ac:dyDescent="0.25">
      <c r="A523" s="425" t="s">
        <v>476</v>
      </c>
      <c r="B523" s="426" t="s">
        <v>101</v>
      </c>
      <c r="C523" s="429">
        <v>0</v>
      </c>
      <c r="D523" s="429">
        <v>311.58999999999997</v>
      </c>
      <c r="E523" s="429">
        <v>311.58999999999997</v>
      </c>
      <c r="F523" s="429">
        <v>311.58999999999997</v>
      </c>
      <c r="G523" s="685">
        <f t="shared" si="184"/>
        <v>100</v>
      </c>
      <c r="H523" s="685">
        <f t="shared" si="185"/>
        <v>100</v>
      </c>
    </row>
    <row r="524" spans="1:9" s="764" customFormat="1" hidden="1" x14ac:dyDescent="0.25">
      <c r="A524" s="419" t="s">
        <v>356</v>
      </c>
      <c r="B524" s="460" t="s">
        <v>102</v>
      </c>
      <c r="C524" s="421">
        <f>C525+C527+C529</f>
        <v>0</v>
      </c>
      <c r="D524" s="421">
        <f>D525+D527+D529</f>
        <v>0</v>
      </c>
      <c r="E524" s="421">
        <f>E525+E527+E529</f>
        <v>0</v>
      </c>
      <c r="F524" s="421">
        <f t="shared" ref="F524" si="225">F525+F527+F529</f>
        <v>0</v>
      </c>
      <c r="G524" s="685" t="e">
        <f t="shared" ref="G524:G531" si="226">F524/D524*100</f>
        <v>#DIV/0!</v>
      </c>
      <c r="H524" s="685" t="e">
        <f t="shared" ref="H524:H531" si="227">F524/E524*100</f>
        <v>#DIV/0!</v>
      </c>
      <c r="I524" s="837"/>
    </row>
    <row r="525" spans="1:9" s="764" customFormat="1" hidden="1" x14ac:dyDescent="0.25">
      <c r="A525" s="422" t="s">
        <v>215</v>
      </c>
      <c r="B525" s="423" t="s">
        <v>103</v>
      </c>
      <c r="C525" s="424">
        <f>C526</f>
        <v>0</v>
      </c>
      <c r="D525" s="424">
        <f>D526</f>
        <v>0</v>
      </c>
      <c r="E525" s="424">
        <f>E526</f>
        <v>0</v>
      </c>
      <c r="F525" s="424">
        <f t="shared" ref="F525" si="228">F526</f>
        <v>0</v>
      </c>
      <c r="G525" s="685" t="e">
        <f t="shared" si="226"/>
        <v>#DIV/0!</v>
      </c>
      <c r="H525" s="685" t="e">
        <f t="shared" si="227"/>
        <v>#DIV/0!</v>
      </c>
      <c r="I525" s="837"/>
    </row>
    <row r="526" spans="1:9" hidden="1" x14ac:dyDescent="0.25">
      <c r="A526" s="425" t="s">
        <v>106</v>
      </c>
      <c r="B526" s="426" t="s">
        <v>107</v>
      </c>
      <c r="C526" s="429"/>
      <c r="D526" s="429"/>
      <c r="E526" s="429"/>
      <c r="F526" s="429"/>
      <c r="G526" s="685" t="e">
        <f t="shared" si="226"/>
        <v>#DIV/0!</v>
      </c>
      <c r="H526" s="685" t="e">
        <f t="shared" si="227"/>
        <v>#DIV/0!</v>
      </c>
    </row>
    <row r="527" spans="1:9" s="764" customFormat="1" hidden="1" x14ac:dyDescent="0.25">
      <c r="A527" s="422" t="s">
        <v>112</v>
      </c>
      <c r="B527" s="423" t="s">
        <v>113</v>
      </c>
      <c r="C527" s="424">
        <f>C528</f>
        <v>0</v>
      </c>
      <c r="D527" s="424">
        <f>D528</f>
        <v>0</v>
      </c>
      <c r="E527" s="424">
        <f>E528</f>
        <v>0</v>
      </c>
      <c r="F527" s="424">
        <f t="shared" ref="F527" si="229">F528</f>
        <v>0</v>
      </c>
      <c r="G527" s="685" t="e">
        <f t="shared" si="226"/>
        <v>#DIV/0!</v>
      </c>
      <c r="H527" s="685" t="e">
        <f t="shared" si="227"/>
        <v>#DIV/0!</v>
      </c>
      <c r="I527" s="837"/>
    </row>
    <row r="528" spans="1:9" hidden="1" x14ac:dyDescent="0.25">
      <c r="A528" s="425" t="s">
        <v>118</v>
      </c>
      <c r="B528" s="426" t="s">
        <v>119</v>
      </c>
      <c r="C528" s="429"/>
      <c r="D528" s="429"/>
      <c r="E528" s="429"/>
      <c r="F528" s="429"/>
      <c r="G528" s="685" t="e">
        <f t="shared" si="226"/>
        <v>#DIV/0!</v>
      </c>
      <c r="H528" s="685" t="e">
        <f t="shared" si="227"/>
        <v>#DIV/0!</v>
      </c>
    </row>
    <row r="529" spans="1:10" s="764" customFormat="1" hidden="1" x14ac:dyDescent="0.25">
      <c r="A529" s="422" t="s">
        <v>126</v>
      </c>
      <c r="B529" s="423" t="s">
        <v>127</v>
      </c>
      <c r="C529" s="424">
        <f>C530</f>
        <v>0</v>
      </c>
      <c r="D529" s="424">
        <f>D530</f>
        <v>0</v>
      </c>
      <c r="E529" s="424">
        <f>E530</f>
        <v>0</v>
      </c>
      <c r="F529" s="424">
        <f t="shared" ref="F529" si="230">F530</f>
        <v>0</v>
      </c>
      <c r="G529" s="685" t="e">
        <f t="shared" si="226"/>
        <v>#DIV/0!</v>
      </c>
      <c r="H529" s="685" t="e">
        <f t="shared" si="227"/>
        <v>#DIV/0!</v>
      </c>
      <c r="I529" s="837"/>
    </row>
    <row r="530" spans="1:10" hidden="1" x14ac:dyDescent="0.25">
      <c r="A530" s="425" t="s">
        <v>132</v>
      </c>
      <c r="B530" s="426" t="s">
        <v>133</v>
      </c>
      <c r="C530" s="429"/>
      <c r="D530" s="429"/>
      <c r="E530" s="429"/>
      <c r="F530" s="429"/>
      <c r="G530" s="685" t="e">
        <f t="shared" si="226"/>
        <v>#DIV/0!</v>
      </c>
      <c r="H530" s="685" t="e">
        <f t="shared" si="227"/>
        <v>#DIV/0!</v>
      </c>
    </row>
    <row r="531" spans="1:10" s="776" customFormat="1" ht="56.25" x14ac:dyDescent="0.25">
      <c r="A531" s="469" t="s">
        <v>312</v>
      </c>
      <c r="B531" s="470" t="s">
        <v>359</v>
      </c>
      <c r="C531" s="418">
        <f>C532</f>
        <v>15742.82</v>
      </c>
      <c r="D531" s="418">
        <f>D532</f>
        <v>45699.34</v>
      </c>
      <c r="E531" s="418">
        <f t="shared" ref="E531:F531" si="231">E532</f>
        <v>45699.34</v>
      </c>
      <c r="F531" s="418">
        <f t="shared" si="231"/>
        <v>19562.04</v>
      </c>
      <c r="G531" s="418">
        <f t="shared" si="226"/>
        <v>42.805957372688539</v>
      </c>
      <c r="H531" s="418">
        <f t="shared" si="227"/>
        <v>42.805957372688539</v>
      </c>
      <c r="I531" s="850"/>
    </row>
    <row r="532" spans="1:10" s="825" customFormat="1" ht="15" x14ac:dyDescent="0.25">
      <c r="A532" s="454" t="s">
        <v>360</v>
      </c>
      <c r="B532" s="455" t="s">
        <v>41</v>
      </c>
      <c r="C532" s="688">
        <f>C533</f>
        <v>15742.82</v>
      </c>
      <c r="D532" s="688">
        <f>D533</f>
        <v>45699.34</v>
      </c>
      <c r="E532" s="688">
        <f>E533</f>
        <v>45699.34</v>
      </c>
      <c r="F532" s="688">
        <f t="shared" ref="F532" si="232">F533</f>
        <v>19562.04</v>
      </c>
      <c r="G532" s="689">
        <f t="shared" ref="G532:G590" si="233">F532/D532*100</f>
        <v>42.805957372688539</v>
      </c>
      <c r="H532" s="689">
        <f t="shared" ref="H532:H592" si="234">F532/E532*100</f>
        <v>42.805957372688539</v>
      </c>
      <c r="I532" s="855"/>
      <c r="J532" s="826"/>
    </row>
    <row r="533" spans="1:10" s="779" customFormat="1" x14ac:dyDescent="0.25">
      <c r="A533" s="467" t="s">
        <v>86</v>
      </c>
      <c r="B533" s="472" t="s">
        <v>87</v>
      </c>
      <c r="C533" s="447">
        <f>C534+C545</f>
        <v>15742.82</v>
      </c>
      <c r="D533" s="447">
        <f>D534+D545</f>
        <v>45699.34</v>
      </c>
      <c r="E533" s="447">
        <f>E534+E545</f>
        <v>45699.34</v>
      </c>
      <c r="F533" s="447">
        <f>F534+F545</f>
        <v>19562.04</v>
      </c>
      <c r="G533" s="687">
        <f t="shared" si="233"/>
        <v>42.805957372688539</v>
      </c>
      <c r="H533" s="687">
        <f t="shared" si="234"/>
        <v>42.805957372688539</v>
      </c>
      <c r="I533" s="854"/>
    </row>
    <row r="534" spans="1:10" x14ac:dyDescent="0.25">
      <c r="A534" s="419">
        <v>31</v>
      </c>
      <c r="B534" s="420" t="s">
        <v>88</v>
      </c>
      <c r="C534" s="421">
        <f>C535+C538+C542</f>
        <v>15577.77</v>
      </c>
      <c r="D534" s="421">
        <f>D535+D538+D542</f>
        <v>34458.519999999997</v>
      </c>
      <c r="E534" s="421">
        <f>E535+E538+E542</f>
        <v>34458.519999999997</v>
      </c>
      <c r="F534" s="421">
        <f>F535+F538+F542</f>
        <v>18445.060000000001</v>
      </c>
      <c r="G534" s="684">
        <f t="shared" si="233"/>
        <v>53.528300112715243</v>
      </c>
      <c r="H534" s="684">
        <f t="shared" si="234"/>
        <v>53.528300112715243</v>
      </c>
    </row>
    <row r="535" spans="1:10" x14ac:dyDescent="0.25">
      <c r="A535" s="422">
        <v>311</v>
      </c>
      <c r="B535" s="423" t="s">
        <v>89</v>
      </c>
      <c r="C535" s="424">
        <f>C536</f>
        <v>15577.77</v>
      </c>
      <c r="D535" s="424">
        <f>D536</f>
        <v>28723.69</v>
      </c>
      <c r="E535" s="424">
        <f>E536</f>
        <v>28723.69</v>
      </c>
      <c r="F535" s="424">
        <f t="shared" ref="F535" si="235">F536</f>
        <v>18445.060000000001</v>
      </c>
      <c r="G535" s="685">
        <f t="shared" si="233"/>
        <v>64.215495989547307</v>
      </c>
      <c r="H535" s="685">
        <f t="shared" si="234"/>
        <v>64.215495989547307</v>
      </c>
    </row>
    <row r="536" spans="1:10" x14ac:dyDescent="0.25">
      <c r="A536" s="463" t="s">
        <v>507</v>
      </c>
      <c r="B536" s="466" t="s">
        <v>90</v>
      </c>
      <c r="C536" s="424">
        <f>SUM(C537)</f>
        <v>15577.77</v>
      </c>
      <c r="D536" s="424">
        <f>SUM(D537)</f>
        <v>28723.69</v>
      </c>
      <c r="E536" s="424">
        <f>SUM(E537)</f>
        <v>28723.69</v>
      </c>
      <c r="F536" s="424">
        <f t="shared" ref="F536" si="236">SUM(F537)</f>
        <v>18445.060000000001</v>
      </c>
      <c r="G536" s="685">
        <f t="shared" si="233"/>
        <v>64.215495989547307</v>
      </c>
      <c r="H536" s="685">
        <f t="shared" si="234"/>
        <v>64.215495989547307</v>
      </c>
    </row>
    <row r="537" spans="1:10" x14ac:dyDescent="0.25">
      <c r="A537" s="425" t="s">
        <v>466</v>
      </c>
      <c r="B537" s="426" t="s">
        <v>90</v>
      </c>
      <c r="C537" s="429">
        <v>15577.77</v>
      </c>
      <c r="D537" s="429">
        <v>28723.69</v>
      </c>
      <c r="E537" s="429">
        <v>28723.69</v>
      </c>
      <c r="F537" s="429">
        <v>18445.060000000001</v>
      </c>
      <c r="G537" s="685">
        <f t="shared" si="233"/>
        <v>64.215495989547307</v>
      </c>
      <c r="H537" s="685">
        <f t="shared" si="234"/>
        <v>64.215495989547307</v>
      </c>
      <c r="J537" s="799"/>
    </row>
    <row r="538" spans="1:10" x14ac:dyDescent="0.25">
      <c r="A538" s="422" t="s">
        <v>97</v>
      </c>
      <c r="B538" s="423" t="s">
        <v>98</v>
      </c>
      <c r="C538" s="424">
        <f>C539</f>
        <v>0</v>
      </c>
      <c r="D538" s="424">
        <f>D539</f>
        <v>995.42</v>
      </c>
      <c r="E538" s="424">
        <f>E539</f>
        <v>995.42</v>
      </c>
      <c r="F538" s="424">
        <f t="shared" ref="F538" si="237">F539</f>
        <v>0</v>
      </c>
      <c r="G538" s="685">
        <f t="shared" si="233"/>
        <v>0</v>
      </c>
      <c r="H538" s="685">
        <f t="shared" si="234"/>
        <v>0</v>
      </c>
    </row>
    <row r="539" spans="1:10" x14ac:dyDescent="0.25">
      <c r="A539" s="463" t="s">
        <v>99</v>
      </c>
      <c r="B539" s="466" t="s">
        <v>98</v>
      </c>
      <c r="C539" s="424">
        <f>SUM(C540:C541)</f>
        <v>0</v>
      </c>
      <c r="D539" s="424">
        <f>SUM(D540:D541)</f>
        <v>995.42</v>
      </c>
      <c r="E539" s="424">
        <f>SUM(E540:E541)</f>
        <v>995.42</v>
      </c>
      <c r="F539" s="424">
        <f>SUM(F540:F541)</f>
        <v>0</v>
      </c>
      <c r="G539" s="685">
        <f t="shared" si="233"/>
        <v>0</v>
      </c>
      <c r="H539" s="685">
        <f t="shared" si="234"/>
        <v>0</v>
      </c>
    </row>
    <row r="540" spans="1:10" x14ac:dyDescent="0.25">
      <c r="A540" s="468" t="s">
        <v>474</v>
      </c>
      <c r="B540" s="476" t="s">
        <v>387</v>
      </c>
      <c r="C540" s="429">
        <v>0</v>
      </c>
      <c r="D540" s="429">
        <v>300</v>
      </c>
      <c r="E540" s="429">
        <v>300</v>
      </c>
      <c r="F540" s="429"/>
      <c r="G540" s="685">
        <f t="shared" si="233"/>
        <v>0</v>
      </c>
      <c r="H540" s="685">
        <f t="shared" si="234"/>
        <v>0</v>
      </c>
    </row>
    <row r="541" spans="1:10" x14ac:dyDescent="0.25">
      <c r="A541" s="425" t="s">
        <v>475</v>
      </c>
      <c r="B541" s="426" t="s">
        <v>382</v>
      </c>
      <c r="C541" s="429">
        <v>0</v>
      </c>
      <c r="D541" s="429">
        <v>695.42</v>
      </c>
      <c r="E541" s="429">
        <v>695.42</v>
      </c>
      <c r="F541" s="429"/>
      <c r="G541" s="685">
        <f t="shared" si="233"/>
        <v>0</v>
      </c>
      <c r="H541" s="685">
        <f t="shared" si="234"/>
        <v>0</v>
      </c>
    </row>
    <row r="542" spans="1:10" x14ac:dyDescent="0.25">
      <c r="A542" s="422" t="s">
        <v>212</v>
      </c>
      <c r="B542" s="423" t="s">
        <v>100</v>
      </c>
      <c r="C542" s="424">
        <f>C543</f>
        <v>0</v>
      </c>
      <c r="D542" s="424">
        <f>D543</f>
        <v>4739.41</v>
      </c>
      <c r="E542" s="424">
        <f>E543</f>
        <v>4739.41</v>
      </c>
      <c r="F542" s="424">
        <f t="shared" ref="F542" si="238">F543</f>
        <v>0</v>
      </c>
      <c r="G542" s="685">
        <f t="shared" si="233"/>
        <v>0</v>
      </c>
      <c r="H542" s="685">
        <f t="shared" si="234"/>
        <v>0</v>
      </c>
    </row>
    <row r="543" spans="1:10" x14ac:dyDescent="0.25">
      <c r="A543" s="463" t="s">
        <v>213</v>
      </c>
      <c r="B543" s="466" t="s">
        <v>101</v>
      </c>
      <c r="C543" s="424">
        <f>SUM(C544)</f>
        <v>0</v>
      </c>
      <c r="D543" s="424">
        <f>SUM(D544)</f>
        <v>4739.41</v>
      </c>
      <c r="E543" s="424">
        <f>SUM(E544)</f>
        <v>4739.41</v>
      </c>
      <c r="F543" s="424">
        <f t="shared" ref="F543" si="239">SUM(F544)</f>
        <v>0</v>
      </c>
      <c r="G543" s="685">
        <f t="shared" si="233"/>
        <v>0</v>
      </c>
      <c r="H543" s="685">
        <f t="shared" si="234"/>
        <v>0</v>
      </c>
    </row>
    <row r="544" spans="1:10" x14ac:dyDescent="0.25">
      <c r="A544" s="425" t="s">
        <v>476</v>
      </c>
      <c r="B544" s="426" t="s">
        <v>101</v>
      </c>
      <c r="C544" s="429">
        <v>0</v>
      </c>
      <c r="D544" s="429">
        <v>4739.41</v>
      </c>
      <c r="E544" s="429">
        <v>4739.41</v>
      </c>
      <c r="F544" s="429">
        <v>0</v>
      </c>
      <c r="G544" s="685">
        <f t="shared" si="233"/>
        <v>0</v>
      </c>
      <c r="H544" s="685">
        <f t="shared" si="234"/>
        <v>0</v>
      </c>
    </row>
    <row r="545" spans="1:9" s="764" customFormat="1" x14ac:dyDescent="0.25">
      <c r="A545" s="459" t="s">
        <v>356</v>
      </c>
      <c r="B545" s="460" t="s">
        <v>102</v>
      </c>
      <c r="C545" s="421">
        <f>C546+C553+C555</f>
        <v>165.05</v>
      </c>
      <c r="D545" s="421">
        <f>D546+D553+D555</f>
        <v>11240.82</v>
      </c>
      <c r="E545" s="421">
        <f>E546+E553+E555</f>
        <v>11240.82</v>
      </c>
      <c r="F545" s="421">
        <f t="shared" ref="F545" si="240">F546+F553+F555</f>
        <v>1116.98</v>
      </c>
      <c r="G545" s="684">
        <f t="shared" si="233"/>
        <v>9.9368195558687002</v>
      </c>
      <c r="H545" s="684">
        <f t="shared" si="234"/>
        <v>9.9368195558687002</v>
      </c>
      <c r="I545" s="837"/>
    </row>
    <row r="546" spans="1:9" s="764" customFormat="1" x14ac:dyDescent="0.25">
      <c r="A546" s="422" t="s">
        <v>215</v>
      </c>
      <c r="B546" s="423" t="s">
        <v>103</v>
      </c>
      <c r="C546" s="424">
        <f>C547+C549+C551</f>
        <v>165.05</v>
      </c>
      <c r="D546" s="424">
        <f>D547+D549+D551</f>
        <v>10280.64</v>
      </c>
      <c r="E546" s="424">
        <f>E547+E549+E551</f>
        <v>10280.64</v>
      </c>
      <c r="F546" s="424">
        <f t="shared" ref="F546" si="241">F547+F549+F551</f>
        <v>1116.98</v>
      </c>
      <c r="G546" s="685">
        <f t="shared" si="233"/>
        <v>10.864887789087062</v>
      </c>
      <c r="H546" s="685">
        <f t="shared" si="234"/>
        <v>10.864887789087062</v>
      </c>
      <c r="I546" s="837"/>
    </row>
    <row r="547" spans="1:9" s="764" customFormat="1" x14ac:dyDescent="0.25">
      <c r="A547" s="463" t="s">
        <v>104</v>
      </c>
      <c r="B547" s="466" t="s">
        <v>105</v>
      </c>
      <c r="C547" s="424">
        <f>SUM(C548)</f>
        <v>0</v>
      </c>
      <c r="D547" s="424">
        <f>SUM(D548)</f>
        <v>3716.17</v>
      </c>
      <c r="E547" s="424">
        <f>SUM(E548)</f>
        <v>3716.17</v>
      </c>
      <c r="F547" s="424">
        <f t="shared" ref="F547" si="242">SUM(F548)</f>
        <v>0</v>
      </c>
      <c r="G547" s="685">
        <f t="shared" si="233"/>
        <v>0</v>
      </c>
      <c r="H547" s="685">
        <f t="shared" si="234"/>
        <v>0</v>
      </c>
      <c r="I547" s="837"/>
    </row>
    <row r="548" spans="1:9" s="764" customFormat="1" x14ac:dyDescent="0.25">
      <c r="A548" s="468" t="s">
        <v>508</v>
      </c>
      <c r="B548" s="476" t="s">
        <v>388</v>
      </c>
      <c r="C548" s="429">
        <v>0</v>
      </c>
      <c r="D548" s="429">
        <v>3716.17</v>
      </c>
      <c r="E548" s="429">
        <v>3716.17</v>
      </c>
      <c r="F548" s="429">
        <v>0</v>
      </c>
      <c r="G548" s="685">
        <f t="shared" si="233"/>
        <v>0</v>
      </c>
      <c r="H548" s="685">
        <f t="shared" si="234"/>
        <v>0</v>
      </c>
      <c r="I548" s="837"/>
    </row>
    <row r="549" spans="1:9" s="764" customFormat="1" x14ac:dyDescent="0.25">
      <c r="A549" s="463" t="s">
        <v>106</v>
      </c>
      <c r="B549" s="466" t="s">
        <v>107</v>
      </c>
      <c r="C549" s="424">
        <f>SUM(C550)</f>
        <v>165.05</v>
      </c>
      <c r="D549" s="424">
        <f>SUM(D550)</f>
        <v>4905.43</v>
      </c>
      <c r="E549" s="424">
        <f>SUM(E550)</f>
        <v>4905.43</v>
      </c>
      <c r="F549" s="424">
        <f t="shared" ref="F549" si="243">SUM(F550)</f>
        <v>1116.98</v>
      </c>
      <c r="G549" s="685">
        <f t="shared" si="233"/>
        <v>22.770277019547724</v>
      </c>
      <c r="H549" s="685">
        <f t="shared" si="234"/>
        <v>22.770277019547724</v>
      </c>
      <c r="I549" s="837"/>
    </row>
    <row r="550" spans="1:9" s="764" customFormat="1" x14ac:dyDescent="0.25">
      <c r="A550" s="468" t="s">
        <v>477</v>
      </c>
      <c r="B550" s="426" t="s">
        <v>107</v>
      </c>
      <c r="C550" s="429">
        <v>165.05</v>
      </c>
      <c r="D550" s="429">
        <v>4905.43</v>
      </c>
      <c r="E550" s="429">
        <v>4905.43</v>
      </c>
      <c r="F550" s="429">
        <v>1116.98</v>
      </c>
      <c r="G550" s="685">
        <f t="shared" si="233"/>
        <v>22.770277019547724</v>
      </c>
      <c r="H550" s="685">
        <f t="shared" si="234"/>
        <v>22.770277019547724</v>
      </c>
      <c r="I550" s="837"/>
    </row>
    <row r="551" spans="1:9" s="764" customFormat="1" x14ac:dyDescent="0.25">
      <c r="A551" s="463" t="s">
        <v>108</v>
      </c>
      <c r="B551" s="466" t="s">
        <v>109</v>
      </c>
      <c r="C551" s="424">
        <f>SUM(C552)</f>
        <v>0</v>
      </c>
      <c r="D551" s="424">
        <f>SUM(D552)</f>
        <v>1659.04</v>
      </c>
      <c r="E551" s="424">
        <f>SUM(E552)</f>
        <v>1659.04</v>
      </c>
      <c r="F551" s="424">
        <f t="shared" ref="F551" si="244">SUM(F552)</f>
        <v>0</v>
      </c>
      <c r="G551" s="685">
        <f t="shared" si="233"/>
        <v>0</v>
      </c>
      <c r="H551" s="685">
        <f t="shared" si="234"/>
        <v>0</v>
      </c>
      <c r="I551" s="837"/>
    </row>
    <row r="552" spans="1:9" x14ac:dyDescent="0.25">
      <c r="A552" s="425" t="s">
        <v>498</v>
      </c>
      <c r="B552" s="426" t="s">
        <v>393</v>
      </c>
      <c r="C552" s="429">
        <v>0</v>
      </c>
      <c r="D552" s="429">
        <v>1659.04</v>
      </c>
      <c r="E552" s="429">
        <v>1659.04</v>
      </c>
      <c r="F552" s="429">
        <v>0</v>
      </c>
      <c r="G552" s="685">
        <f t="shared" si="233"/>
        <v>0</v>
      </c>
      <c r="H552" s="685">
        <f t="shared" si="234"/>
        <v>0</v>
      </c>
    </row>
    <row r="553" spans="1:9" s="764" customFormat="1" x14ac:dyDescent="0.25">
      <c r="A553" s="422" t="s">
        <v>112</v>
      </c>
      <c r="B553" s="423" t="s">
        <v>113</v>
      </c>
      <c r="C553" s="424">
        <f>C554</f>
        <v>0</v>
      </c>
      <c r="D553" s="424">
        <f>D554</f>
        <v>0</v>
      </c>
      <c r="E553" s="424">
        <f>E554</f>
        <v>0</v>
      </c>
      <c r="F553" s="424">
        <f t="shared" ref="F553" si="245">F554</f>
        <v>0</v>
      </c>
      <c r="G553" s="685" t="e">
        <f t="shared" si="233"/>
        <v>#DIV/0!</v>
      </c>
      <c r="H553" s="685" t="e">
        <f t="shared" si="234"/>
        <v>#DIV/0!</v>
      </c>
      <c r="I553" s="837"/>
    </row>
    <row r="554" spans="1:9" x14ac:dyDescent="0.25">
      <c r="A554" s="425" t="s">
        <v>118</v>
      </c>
      <c r="B554" s="426" t="s">
        <v>119</v>
      </c>
      <c r="C554" s="429"/>
      <c r="D554" s="429"/>
      <c r="E554" s="429"/>
      <c r="F554" s="429"/>
      <c r="G554" s="685" t="e">
        <f t="shared" si="233"/>
        <v>#DIV/0!</v>
      </c>
      <c r="H554" s="685" t="e">
        <f t="shared" si="234"/>
        <v>#DIV/0!</v>
      </c>
    </row>
    <row r="555" spans="1:9" s="764" customFormat="1" x14ac:dyDescent="0.25">
      <c r="A555" s="422" t="s">
        <v>126</v>
      </c>
      <c r="B555" s="423" t="s">
        <v>127</v>
      </c>
      <c r="C555" s="424">
        <f>C556+C558</f>
        <v>0</v>
      </c>
      <c r="D555" s="424">
        <f>D556+D558</f>
        <v>960.18000000000006</v>
      </c>
      <c r="E555" s="424">
        <f>E556+E558</f>
        <v>960.18000000000006</v>
      </c>
      <c r="F555" s="424">
        <f t="shared" ref="F555" si="246">F556+F558</f>
        <v>0</v>
      </c>
      <c r="G555" s="685">
        <f t="shared" si="233"/>
        <v>0</v>
      </c>
      <c r="H555" s="685">
        <f t="shared" si="234"/>
        <v>0</v>
      </c>
      <c r="I555" s="837"/>
    </row>
    <row r="556" spans="1:9" s="764" customFormat="1" x14ac:dyDescent="0.25">
      <c r="A556" s="463" t="s">
        <v>218</v>
      </c>
      <c r="B556" s="466" t="s">
        <v>138</v>
      </c>
      <c r="C556" s="424">
        <f>C557</f>
        <v>0</v>
      </c>
      <c r="D556" s="424">
        <f>D557</f>
        <v>518.74</v>
      </c>
      <c r="E556" s="424">
        <f>E557</f>
        <v>518.74</v>
      </c>
      <c r="F556" s="424">
        <f t="shared" ref="F556" si="247">F557</f>
        <v>0</v>
      </c>
      <c r="G556" s="685">
        <f t="shared" si="233"/>
        <v>0</v>
      </c>
      <c r="H556" s="685">
        <f t="shared" si="234"/>
        <v>0</v>
      </c>
      <c r="I556" s="837"/>
    </row>
    <row r="557" spans="1:9" x14ac:dyDescent="0.25">
      <c r="A557" s="425" t="s">
        <v>501</v>
      </c>
      <c r="B557" s="426" t="s">
        <v>423</v>
      </c>
      <c r="C557" s="429">
        <v>0</v>
      </c>
      <c r="D557" s="429">
        <v>518.74</v>
      </c>
      <c r="E557" s="429">
        <v>518.74</v>
      </c>
      <c r="F557" s="429">
        <v>0</v>
      </c>
      <c r="G557" s="685">
        <f t="shared" si="233"/>
        <v>0</v>
      </c>
      <c r="H557" s="685">
        <f t="shared" si="234"/>
        <v>0</v>
      </c>
    </row>
    <row r="558" spans="1:9" x14ac:dyDescent="0.25">
      <c r="A558" s="463" t="s">
        <v>141</v>
      </c>
      <c r="B558" s="466" t="s">
        <v>142</v>
      </c>
      <c r="C558" s="424">
        <f>C559</f>
        <v>0</v>
      </c>
      <c r="D558" s="424">
        <f>D559</f>
        <v>441.44</v>
      </c>
      <c r="E558" s="424">
        <f>E559</f>
        <v>441.44</v>
      </c>
      <c r="F558" s="424">
        <f t="shared" ref="F558" si="248">F559</f>
        <v>0</v>
      </c>
      <c r="G558" s="685">
        <f t="shared" si="233"/>
        <v>0</v>
      </c>
      <c r="H558" s="685">
        <f t="shared" si="234"/>
        <v>0</v>
      </c>
    </row>
    <row r="559" spans="1:9" x14ac:dyDescent="0.25">
      <c r="A559" s="425" t="s">
        <v>502</v>
      </c>
      <c r="B559" s="426" t="s">
        <v>305</v>
      </c>
      <c r="C559" s="429">
        <v>0</v>
      </c>
      <c r="D559" s="429">
        <v>441.44</v>
      </c>
      <c r="E559" s="429">
        <v>441.44</v>
      </c>
      <c r="F559" s="429">
        <v>0</v>
      </c>
      <c r="G559" s="685">
        <f t="shared" si="233"/>
        <v>0</v>
      </c>
      <c r="H559" s="685">
        <f t="shared" si="234"/>
        <v>0</v>
      </c>
    </row>
    <row r="560" spans="1:9" ht="37.5" hidden="1" x14ac:dyDescent="0.25">
      <c r="A560" s="469" t="s">
        <v>312</v>
      </c>
      <c r="B560" s="470" t="s">
        <v>361</v>
      </c>
      <c r="C560" s="471">
        <f>C561+C578</f>
        <v>0</v>
      </c>
      <c r="D560" s="471">
        <f>D561+D578</f>
        <v>0</v>
      </c>
      <c r="E560" s="471">
        <f>E561+E578</f>
        <v>0</v>
      </c>
      <c r="F560" s="471">
        <f>F561+F578</f>
        <v>0</v>
      </c>
      <c r="G560" s="690" t="e">
        <f t="shared" si="233"/>
        <v>#DIV/0!</v>
      </c>
      <c r="H560" s="690" t="e">
        <f t="shared" si="234"/>
        <v>#DIV/0!</v>
      </c>
    </row>
    <row r="561" spans="1:9" hidden="1" x14ac:dyDescent="0.25">
      <c r="A561" s="454">
        <v>52</v>
      </c>
      <c r="B561" s="455" t="s">
        <v>224</v>
      </c>
      <c r="C561" s="688">
        <f>C562</f>
        <v>0</v>
      </c>
      <c r="D561" s="688">
        <f>D562</f>
        <v>0</v>
      </c>
      <c r="E561" s="688">
        <f>E562</f>
        <v>0</v>
      </c>
      <c r="F561" s="688">
        <f t="shared" ref="F561" si="249">F562</f>
        <v>0</v>
      </c>
      <c r="G561" s="689" t="e">
        <f t="shared" si="233"/>
        <v>#DIV/0!</v>
      </c>
      <c r="H561" s="689" t="e">
        <f t="shared" si="234"/>
        <v>#DIV/0!</v>
      </c>
    </row>
    <row r="562" spans="1:9" hidden="1" x14ac:dyDescent="0.25">
      <c r="A562" s="467" t="s">
        <v>86</v>
      </c>
      <c r="B562" s="472" t="s">
        <v>87</v>
      </c>
      <c r="C562" s="447">
        <f>C563+C575</f>
        <v>0</v>
      </c>
      <c r="D562" s="447">
        <f>D563+D575</f>
        <v>0</v>
      </c>
      <c r="E562" s="447">
        <f>E563+E575</f>
        <v>0</v>
      </c>
      <c r="F562" s="447">
        <f>F563+F575</f>
        <v>0</v>
      </c>
      <c r="G562" s="687" t="e">
        <f t="shared" si="233"/>
        <v>#DIV/0!</v>
      </c>
      <c r="H562" s="687" t="e">
        <f t="shared" si="234"/>
        <v>#DIV/0!</v>
      </c>
    </row>
    <row r="563" spans="1:9" hidden="1" x14ac:dyDescent="0.25">
      <c r="A563" s="419">
        <v>31</v>
      </c>
      <c r="B563" s="420" t="s">
        <v>88</v>
      </c>
      <c r="C563" s="421">
        <f>C564+C569+C571</f>
        <v>0</v>
      </c>
      <c r="D563" s="421">
        <f>D564+D569+D571</f>
        <v>0</v>
      </c>
      <c r="E563" s="421">
        <f>E564+E569+E571</f>
        <v>0</v>
      </c>
      <c r="F563" s="421">
        <f>F564+F569+F571</f>
        <v>0</v>
      </c>
      <c r="G563" s="684" t="e">
        <f t="shared" si="233"/>
        <v>#DIV/0!</v>
      </c>
      <c r="H563" s="684" t="e">
        <f t="shared" si="234"/>
        <v>#DIV/0!</v>
      </c>
    </row>
    <row r="564" spans="1:9" hidden="1" x14ac:dyDescent="0.25">
      <c r="A564" s="422">
        <v>311</v>
      </c>
      <c r="B564" s="423" t="s">
        <v>89</v>
      </c>
      <c r="C564" s="424">
        <f>C565+C566+C567</f>
        <v>0</v>
      </c>
      <c r="D564" s="424">
        <f>D565+D566+D567</f>
        <v>0</v>
      </c>
      <c r="E564" s="424">
        <f>E565+E566+E567</f>
        <v>0</v>
      </c>
      <c r="F564" s="424">
        <f>F565+F566+F567</f>
        <v>0</v>
      </c>
      <c r="G564" s="685" t="e">
        <f t="shared" si="233"/>
        <v>#DIV/0!</v>
      </c>
      <c r="H564" s="685" t="e">
        <f t="shared" si="234"/>
        <v>#DIV/0!</v>
      </c>
    </row>
    <row r="565" spans="1:9" s="761" customFormat="1" hidden="1" x14ac:dyDescent="0.25">
      <c r="A565" s="463">
        <v>3111</v>
      </c>
      <c r="B565" s="466" t="s">
        <v>90</v>
      </c>
      <c r="C565" s="424"/>
      <c r="D565" s="424"/>
      <c r="E565" s="424"/>
      <c r="F565" s="424"/>
      <c r="G565" s="685" t="e">
        <f t="shared" si="233"/>
        <v>#DIV/0!</v>
      </c>
      <c r="H565" s="685" t="e">
        <f t="shared" si="234"/>
        <v>#DIV/0!</v>
      </c>
      <c r="I565" s="830"/>
    </row>
    <row r="566" spans="1:9" s="761" customFormat="1" hidden="1" x14ac:dyDescent="0.25">
      <c r="A566" s="463" t="s">
        <v>93</v>
      </c>
      <c r="B566" s="466" t="s">
        <v>94</v>
      </c>
      <c r="C566" s="424"/>
      <c r="D566" s="424"/>
      <c r="E566" s="424"/>
      <c r="F566" s="424"/>
      <c r="G566" s="685" t="e">
        <f t="shared" si="233"/>
        <v>#DIV/0!</v>
      </c>
      <c r="H566" s="685" t="e">
        <f t="shared" si="234"/>
        <v>#DIV/0!</v>
      </c>
      <c r="I566" s="830"/>
    </row>
    <row r="567" spans="1:9" s="761" customFormat="1" hidden="1" x14ac:dyDescent="0.25">
      <c r="A567" s="463" t="s">
        <v>95</v>
      </c>
      <c r="B567" s="466" t="s">
        <v>211</v>
      </c>
      <c r="C567" s="424">
        <f>SUM(C568)</f>
        <v>0</v>
      </c>
      <c r="D567" s="424">
        <f>SUM(D568)</f>
        <v>0</v>
      </c>
      <c r="E567" s="424">
        <f>SUM(E568)</f>
        <v>0</v>
      </c>
      <c r="F567" s="424">
        <f t="shared" ref="F567" si="250">SUM(F568)</f>
        <v>0</v>
      </c>
      <c r="G567" s="685" t="e">
        <f t="shared" si="233"/>
        <v>#DIV/0!</v>
      </c>
      <c r="H567" s="685" t="e">
        <f t="shared" si="234"/>
        <v>#DIV/0!</v>
      </c>
      <c r="I567" s="830"/>
    </row>
    <row r="568" spans="1:9" hidden="1" x14ac:dyDescent="0.25">
      <c r="A568" s="425" t="s">
        <v>469</v>
      </c>
      <c r="B568" s="426" t="s">
        <v>211</v>
      </c>
      <c r="C568" s="429">
        <v>0</v>
      </c>
      <c r="D568" s="429">
        <v>0</v>
      </c>
      <c r="E568" s="429"/>
      <c r="F568" s="429">
        <v>0</v>
      </c>
      <c r="G568" s="685" t="e">
        <f t="shared" si="233"/>
        <v>#DIV/0!</v>
      </c>
      <c r="H568" s="685" t="e">
        <f t="shared" si="234"/>
        <v>#DIV/0!</v>
      </c>
    </row>
    <row r="569" spans="1:9" hidden="1" x14ac:dyDescent="0.25">
      <c r="A569" s="422" t="s">
        <v>97</v>
      </c>
      <c r="B569" s="423" t="s">
        <v>98</v>
      </c>
      <c r="C569" s="424">
        <f>C570</f>
        <v>0</v>
      </c>
      <c r="D569" s="424">
        <f>D570</f>
        <v>0</v>
      </c>
      <c r="E569" s="424">
        <f>E570</f>
        <v>0</v>
      </c>
      <c r="F569" s="424">
        <f t="shared" ref="F569" si="251">F570</f>
        <v>0</v>
      </c>
      <c r="G569" s="685" t="e">
        <f t="shared" si="233"/>
        <v>#DIV/0!</v>
      </c>
      <c r="H569" s="685" t="e">
        <f t="shared" si="234"/>
        <v>#DIV/0!</v>
      </c>
    </row>
    <row r="570" spans="1:9" hidden="1" x14ac:dyDescent="0.25">
      <c r="A570" s="425" t="s">
        <v>99</v>
      </c>
      <c r="B570" s="426" t="s">
        <v>98</v>
      </c>
      <c r="C570" s="429"/>
      <c r="D570" s="429"/>
      <c r="E570" s="429"/>
      <c r="F570" s="429"/>
      <c r="G570" s="685" t="e">
        <f t="shared" si="233"/>
        <v>#DIV/0!</v>
      </c>
      <c r="H570" s="685" t="e">
        <f t="shared" si="234"/>
        <v>#DIV/0!</v>
      </c>
    </row>
    <row r="571" spans="1:9" hidden="1" x14ac:dyDescent="0.25">
      <c r="A571" s="427">
        <v>313</v>
      </c>
      <c r="B571" s="423" t="s">
        <v>100</v>
      </c>
      <c r="C571" s="424">
        <f>C572+C573</f>
        <v>0</v>
      </c>
      <c r="D571" s="424">
        <f>D572+D573</f>
        <v>0</v>
      </c>
      <c r="E571" s="424">
        <f>E572+E573</f>
        <v>0</v>
      </c>
      <c r="F571" s="424">
        <f t="shared" ref="F571" si="252">F572+F573</f>
        <v>0</v>
      </c>
      <c r="G571" s="685" t="e">
        <f t="shared" si="233"/>
        <v>#DIV/0!</v>
      </c>
      <c r="H571" s="685" t="e">
        <f t="shared" si="234"/>
        <v>#DIV/0!</v>
      </c>
    </row>
    <row r="572" spans="1:9" s="767" customFormat="1" hidden="1" x14ac:dyDescent="0.25">
      <c r="A572" s="521" t="s">
        <v>225</v>
      </c>
      <c r="B572" s="466" t="s">
        <v>226</v>
      </c>
      <c r="C572" s="424"/>
      <c r="D572" s="424"/>
      <c r="E572" s="424"/>
      <c r="F572" s="424"/>
      <c r="G572" s="685" t="e">
        <f t="shared" si="233"/>
        <v>#DIV/0!</v>
      </c>
      <c r="H572" s="685" t="e">
        <f t="shared" si="234"/>
        <v>#DIV/0!</v>
      </c>
      <c r="I572" s="829"/>
    </row>
    <row r="573" spans="1:9" s="767" customFormat="1" hidden="1" x14ac:dyDescent="0.25">
      <c r="A573" s="521">
        <v>3132</v>
      </c>
      <c r="B573" s="466" t="s">
        <v>101</v>
      </c>
      <c r="C573" s="424">
        <f>SUM(C574)</f>
        <v>0</v>
      </c>
      <c r="D573" s="424">
        <f>SUM(D574)</f>
        <v>0</v>
      </c>
      <c r="E573" s="424">
        <f>SUM(E574)</f>
        <v>0</v>
      </c>
      <c r="F573" s="424">
        <f t="shared" ref="F573" si="253">SUM(F574)</f>
        <v>0</v>
      </c>
      <c r="G573" s="685" t="e">
        <f t="shared" si="233"/>
        <v>#DIV/0!</v>
      </c>
      <c r="H573" s="685" t="e">
        <f t="shared" si="234"/>
        <v>#DIV/0!</v>
      </c>
      <c r="I573" s="829"/>
    </row>
    <row r="574" spans="1:9" hidden="1" x14ac:dyDescent="0.25">
      <c r="A574" s="428" t="s">
        <v>476</v>
      </c>
      <c r="B574" s="426" t="s">
        <v>101</v>
      </c>
      <c r="C574" s="429">
        <v>0</v>
      </c>
      <c r="D574" s="429">
        <v>0</v>
      </c>
      <c r="E574" s="429"/>
      <c r="F574" s="429">
        <v>0</v>
      </c>
      <c r="G574" s="685" t="e">
        <f t="shared" si="233"/>
        <v>#DIV/0!</v>
      </c>
      <c r="H574" s="685" t="e">
        <f t="shared" si="234"/>
        <v>#DIV/0!</v>
      </c>
    </row>
    <row r="575" spans="1:9" s="761" customFormat="1" hidden="1" x14ac:dyDescent="0.25">
      <c r="A575" s="419" t="s">
        <v>356</v>
      </c>
      <c r="B575" s="460" t="s">
        <v>102</v>
      </c>
      <c r="C575" s="421">
        <f t="shared" ref="C575:F576" si="254">C576</f>
        <v>0</v>
      </c>
      <c r="D575" s="421">
        <f t="shared" si="254"/>
        <v>0</v>
      </c>
      <c r="E575" s="421">
        <f t="shared" si="254"/>
        <v>0</v>
      </c>
      <c r="F575" s="421">
        <f t="shared" si="254"/>
        <v>0</v>
      </c>
      <c r="G575" s="685" t="e">
        <f t="shared" si="233"/>
        <v>#DIV/0!</v>
      </c>
      <c r="H575" s="685" t="e">
        <f t="shared" si="234"/>
        <v>#DIV/0!</v>
      </c>
      <c r="I575" s="830"/>
    </row>
    <row r="576" spans="1:9" s="761" customFormat="1" hidden="1" x14ac:dyDescent="0.25">
      <c r="A576" s="427" t="s">
        <v>112</v>
      </c>
      <c r="B576" s="423" t="s">
        <v>113</v>
      </c>
      <c r="C576" s="424">
        <f t="shared" si="254"/>
        <v>0</v>
      </c>
      <c r="D576" s="424">
        <f t="shared" si="254"/>
        <v>0</v>
      </c>
      <c r="E576" s="424">
        <f t="shared" si="254"/>
        <v>0</v>
      </c>
      <c r="F576" s="424">
        <f t="shared" si="254"/>
        <v>0</v>
      </c>
      <c r="G576" s="685" t="e">
        <f t="shared" si="233"/>
        <v>#DIV/0!</v>
      </c>
      <c r="H576" s="685" t="e">
        <f t="shared" si="234"/>
        <v>#DIV/0!</v>
      </c>
      <c r="I576" s="830"/>
    </row>
    <row r="577" spans="1:9" hidden="1" x14ac:dyDescent="0.25">
      <c r="A577" s="428" t="s">
        <v>116</v>
      </c>
      <c r="B577" s="426" t="s">
        <v>117</v>
      </c>
      <c r="C577" s="429">
        <v>0</v>
      </c>
      <c r="D577" s="429">
        <v>0</v>
      </c>
      <c r="E577" s="429">
        <v>0</v>
      </c>
      <c r="F577" s="429">
        <v>0</v>
      </c>
      <c r="G577" s="685" t="e">
        <f t="shared" si="233"/>
        <v>#DIV/0!</v>
      </c>
      <c r="H577" s="685" t="e">
        <f t="shared" si="234"/>
        <v>#DIV/0!</v>
      </c>
    </row>
    <row r="578" spans="1:9" hidden="1" x14ac:dyDescent="0.25">
      <c r="A578" s="454" t="s">
        <v>65</v>
      </c>
      <c r="B578" s="455" t="s">
        <v>210</v>
      </c>
      <c r="C578" s="688">
        <f>C579+C600</f>
        <v>0</v>
      </c>
      <c r="D578" s="688">
        <f>D579+D600</f>
        <v>0</v>
      </c>
      <c r="E578" s="688">
        <f>E579+E600</f>
        <v>0</v>
      </c>
      <c r="F578" s="688">
        <f t="shared" ref="F578" si="255">F579+F600</f>
        <v>0</v>
      </c>
      <c r="G578" s="689" t="e">
        <f t="shared" si="233"/>
        <v>#DIV/0!</v>
      </c>
      <c r="H578" s="689" t="e">
        <f t="shared" si="234"/>
        <v>#DIV/0!</v>
      </c>
    </row>
    <row r="579" spans="1:9" hidden="1" x14ac:dyDescent="0.25">
      <c r="A579" s="467" t="s">
        <v>86</v>
      </c>
      <c r="B579" s="472" t="s">
        <v>87</v>
      </c>
      <c r="C579" s="447">
        <f>C580</f>
        <v>0</v>
      </c>
      <c r="D579" s="447">
        <f>D580</f>
        <v>0</v>
      </c>
      <c r="E579" s="447">
        <f>E580</f>
        <v>0</v>
      </c>
      <c r="F579" s="447">
        <f t="shared" ref="F579" si="256">F580</f>
        <v>0</v>
      </c>
      <c r="G579" s="687" t="e">
        <f t="shared" si="233"/>
        <v>#DIV/0!</v>
      </c>
      <c r="H579" s="687" t="e">
        <f t="shared" si="234"/>
        <v>#DIV/0!</v>
      </c>
    </row>
    <row r="580" spans="1:9" hidden="1" x14ac:dyDescent="0.25">
      <c r="A580" s="419">
        <v>32</v>
      </c>
      <c r="B580" s="420" t="s">
        <v>102</v>
      </c>
      <c r="C580" s="421">
        <f>C581+C590+C597</f>
        <v>0</v>
      </c>
      <c r="D580" s="421">
        <f>D581+D590+D597</f>
        <v>0</v>
      </c>
      <c r="E580" s="421">
        <f>E581+E590+E597</f>
        <v>0</v>
      </c>
      <c r="F580" s="421">
        <f t="shared" ref="F580" si="257">F581+F590+F597</f>
        <v>0</v>
      </c>
      <c r="G580" s="684" t="e">
        <f t="shared" si="233"/>
        <v>#DIV/0!</v>
      </c>
      <c r="H580" s="684" t="e">
        <f t="shared" si="234"/>
        <v>#DIV/0!</v>
      </c>
    </row>
    <row r="581" spans="1:9" hidden="1" x14ac:dyDescent="0.25">
      <c r="A581" s="422" t="s">
        <v>112</v>
      </c>
      <c r="B581" s="423" t="s">
        <v>113</v>
      </c>
      <c r="C581" s="424">
        <f>C582+C584+C586+C588</f>
        <v>0</v>
      </c>
      <c r="D581" s="424">
        <f>D582+D584+D586+D588</f>
        <v>0</v>
      </c>
      <c r="E581" s="424">
        <f>E582+E584+E586+E588</f>
        <v>0</v>
      </c>
      <c r="F581" s="424">
        <f t="shared" ref="F581" si="258">F582+F584+F586+F588</f>
        <v>0</v>
      </c>
      <c r="G581" s="685" t="e">
        <f t="shared" si="233"/>
        <v>#DIV/0!</v>
      </c>
      <c r="H581" s="685" t="e">
        <f t="shared" si="234"/>
        <v>#DIV/0!</v>
      </c>
    </row>
    <row r="582" spans="1:9" hidden="1" x14ac:dyDescent="0.25">
      <c r="A582" s="463" t="s">
        <v>114</v>
      </c>
      <c r="B582" s="532" t="s">
        <v>115</v>
      </c>
      <c r="C582" s="424">
        <f>SUM(C583)</f>
        <v>0</v>
      </c>
      <c r="D582" s="424">
        <f>SUM(D583)</f>
        <v>0</v>
      </c>
      <c r="E582" s="424">
        <f>SUM(E583)</f>
        <v>0</v>
      </c>
      <c r="F582" s="424">
        <f t="shared" ref="F582" si="259">SUM(F583)</f>
        <v>0</v>
      </c>
      <c r="G582" s="685" t="e">
        <f t="shared" si="233"/>
        <v>#DIV/0!</v>
      </c>
      <c r="H582" s="685" t="e">
        <f t="shared" si="234"/>
        <v>#DIV/0!</v>
      </c>
    </row>
    <row r="583" spans="1:9" hidden="1" x14ac:dyDescent="0.25">
      <c r="A583" s="425" t="s">
        <v>499</v>
      </c>
      <c r="B583" s="477" t="s">
        <v>395</v>
      </c>
      <c r="C583" s="429">
        <v>0</v>
      </c>
      <c r="D583" s="429">
        <v>0</v>
      </c>
      <c r="E583" s="429"/>
      <c r="F583" s="429">
        <v>0</v>
      </c>
      <c r="G583" s="685" t="e">
        <f t="shared" si="233"/>
        <v>#DIV/0!</v>
      </c>
      <c r="H583" s="685" t="e">
        <f t="shared" si="234"/>
        <v>#DIV/0!</v>
      </c>
    </row>
    <row r="584" spans="1:9" hidden="1" x14ac:dyDescent="0.25">
      <c r="A584" s="463" t="s">
        <v>116</v>
      </c>
      <c r="B584" s="532" t="s">
        <v>117</v>
      </c>
      <c r="C584" s="424">
        <f>SUM(C585)</f>
        <v>0</v>
      </c>
      <c r="D584" s="424">
        <f>SUM(D585)</f>
        <v>0</v>
      </c>
      <c r="E584" s="424">
        <f>SUM(E585)</f>
        <v>0</v>
      </c>
      <c r="F584" s="424">
        <f t="shared" ref="F584" si="260">SUM(F585)</f>
        <v>0</v>
      </c>
      <c r="G584" s="685" t="e">
        <f t="shared" si="233"/>
        <v>#DIV/0!</v>
      </c>
      <c r="H584" s="685" t="e">
        <f t="shared" si="234"/>
        <v>#DIV/0!</v>
      </c>
    </row>
    <row r="585" spans="1:9" hidden="1" x14ac:dyDescent="0.25">
      <c r="A585" s="425" t="s">
        <v>538</v>
      </c>
      <c r="B585" s="477" t="s">
        <v>401</v>
      </c>
      <c r="C585" s="429">
        <v>0</v>
      </c>
      <c r="D585" s="429">
        <v>0</v>
      </c>
      <c r="E585" s="429"/>
      <c r="F585" s="429">
        <v>0</v>
      </c>
      <c r="G585" s="685" t="e">
        <f t="shared" si="233"/>
        <v>#DIV/0!</v>
      </c>
      <c r="H585" s="685" t="e">
        <f t="shared" si="234"/>
        <v>#DIV/0!</v>
      </c>
    </row>
    <row r="586" spans="1:9" hidden="1" x14ac:dyDescent="0.25">
      <c r="A586" s="463" t="s">
        <v>120</v>
      </c>
      <c r="B586" s="532" t="s">
        <v>321</v>
      </c>
      <c r="C586" s="424">
        <f>SUM(C587)</f>
        <v>0</v>
      </c>
      <c r="D586" s="424">
        <f>SUM(D587)</f>
        <v>0</v>
      </c>
      <c r="E586" s="424">
        <f>SUM(E587)</f>
        <v>0</v>
      </c>
      <c r="F586" s="424">
        <f t="shared" ref="F586" si="261">SUM(F587)</f>
        <v>0</v>
      </c>
      <c r="G586" s="685" t="e">
        <f t="shared" si="233"/>
        <v>#DIV/0!</v>
      </c>
      <c r="H586" s="685" t="e">
        <f t="shared" si="234"/>
        <v>#DIV/0!</v>
      </c>
    </row>
    <row r="587" spans="1:9" hidden="1" x14ac:dyDescent="0.25">
      <c r="A587" s="425" t="s">
        <v>524</v>
      </c>
      <c r="B587" s="477" t="s">
        <v>534</v>
      </c>
      <c r="C587" s="429">
        <v>0</v>
      </c>
      <c r="D587" s="429">
        <v>0</v>
      </c>
      <c r="E587" s="429"/>
      <c r="F587" s="429">
        <v>0</v>
      </c>
      <c r="G587" s="685" t="e">
        <f t="shared" si="233"/>
        <v>#DIV/0!</v>
      </c>
      <c r="H587" s="685" t="e">
        <f t="shared" si="234"/>
        <v>#DIV/0!</v>
      </c>
    </row>
    <row r="588" spans="1:9" hidden="1" x14ac:dyDescent="0.25">
      <c r="A588" s="463" t="s">
        <v>122</v>
      </c>
      <c r="B588" s="532" t="s">
        <v>123</v>
      </c>
      <c r="C588" s="424">
        <f>SUM(C589)</f>
        <v>0</v>
      </c>
      <c r="D588" s="424">
        <f>SUM(D589)</f>
        <v>0</v>
      </c>
      <c r="E588" s="424">
        <f>SUM(E589)</f>
        <v>0</v>
      </c>
      <c r="F588" s="424">
        <f t="shared" ref="F588" si="262">SUM(F589)</f>
        <v>0</v>
      </c>
      <c r="G588" s="685" t="e">
        <f t="shared" si="233"/>
        <v>#DIV/0!</v>
      </c>
      <c r="H588" s="685" t="e">
        <f t="shared" si="234"/>
        <v>#DIV/0!</v>
      </c>
    </row>
    <row r="589" spans="1:9" hidden="1" x14ac:dyDescent="0.25">
      <c r="A589" s="425" t="s">
        <v>486</v>
      </c>
      <c r="B589" s="477" t="s">
        <v>123</v>
      </c>
      <c r="C589" s="429">
        <v>0</v>
      </c>
      <c r="D589" s="429">
        <v>0</v>
      </c>
      <c r="E589" s="429"/>
      <c r="F589" s="429">
        <v>0</v>
      </c>
      <c r="G589" s="685" t="e">
        <f t="shared" si="233"/>
        <v>#DIV/0!</v>
      </c>
      <c r="H589" s="685" t="e">
        <f t="shared" si="234"/>
        <v>#DIV/0!</v>
      </c>
    </row>
    <row r="590" spans="1:9" hidden="1" x14ac:dyDescent="0.25">
      <c r="A590" s="422" t="s">
        <v>126</v>
      </c>
      <c r="B590" s="431" t="s">
        <v>127</v>
      </c>
      <c r="C590" s="424">
        <f>C592+C595</f>
        <v>0</v>
      </c>
      <c r="D590" s="424">
        <f>D592+D595</f>
        <v>0</v>
      </c>
      <c r="E590" s="424">
        <f>E592+E595</f>
        <v>0</v>
      </c>
      <c r="F590" s="424">
        <f t="shared" ref="F590" si="263">F592+F595</f>
        <v>0</v>
      </c>
      <c r="G590" s="685" t="e">
        <f t="shared" si="233"/>
        <v>#DIV/0!</v>
      </c>
      <c r="H590" s="685" t="e">
        <f t="shared" si="234"/>
        <v>#DIV/0!</v>
      </c>
    </row>
    <row r="591" spans="1:9" s="767" customFormat="1" hidden="1" x14ac:dyDescent="0.25">
      <c r="A591" s="425" t="s">
        <v>128</v>
      </c>
      <c r="B591" s="430" t="s">
        <v>129</v>
      </c>
      <c r="C591" s="429"/>
      <c r="D591" s="429"/>
      <c r="E591" s="429"/>
      <c r="F591" s="429"/>
      <c r="G591" s="685" t="e">
        <f t="shared" ref="G591:G665" si="264">F591/D591*100</f>
        <v>#DIV/0!</v>
      </c>
      <c r="H591" s="685" t="e">
        <f t="shared" si="234"/>
        <v>#DIV/0!</v>
      </c>
      <c r="I591" s="829"/>
    </row>
    <row r="592" spans="1:9" s="767" customFormat="1" hidden="1" x14ac:dyDescent="0.25">
      <c r="A592" s="463" t="s">
        <v>130</v>
      </c>
      <c r="B592" s="479" t="s">
        <v>131</v>
      </c>
      <c r="C592" s="424">
        <f>SUM(C593)</f>
        <v>0</v>
      </c>
      <c r="D592" s="424">
        <f>SUM(D593)</f>
        <v>0</v>
      </c>
      <c r="E592" s="424">
        <f>SUM(E593)</f>
        <v>0</v>
      </c>
      <c r="F592" s="424">
        <f t="shared" ref="F592" si="265">SUM(F593)</f>
        <v>0</v>
      </c>
      <c r="G592" s="685" t="e">
        <f t="shared" si="264"/>
        <v>#DIV/0!</v>
      </c>
      <c r="H592" s="685" t="e">
        <f t="shared" si="234"/>
        <v>#DIV/0!</v>
      </c>
      <c r="I592" s="829"/>
    </row>
    <row r="593" spans="1:9" hidden="1" x14ac:dyDescent="0.25">
      <c r="A593" s="425" t="s">
        <v>512</v>
      </c>
      <c r="B593" s="430" t="s">
        <v>414</v>
      </c>
      <c r="C593" s="429"/>
      <c r="D593" s="429"/>
      <c r="E593" s="429"/>
      <c r="F593" s="429">
        <v>0</v>
      </c>
      <c r="G593" s="685" t="e">
        <f t="shared" si="264"/>
        <v>#DIV/0!</v>
      </c>
      <c r="H593" s="685" t="e">
        <f t="shared" ref="H593:H667" si="266">F593/E593*100</f>
        <v>#DIV/0!</v>
      </c>
    </row>
    <row r="594" spans="1:9" hidden="1" x14ac:dyDescent="0.25">
      <c r="A594" s="425" t="s">
        <v>134</v>
      </c>
      <c r="B594" s="430" t="s">
        <v>135</v>
      </c>
      <c r="C594" s="429"/>
      <c r="D594" s="429"/>
      <c r="E594" s="429"/>
      <c r="F594" s="429"/>
      <c r="G594" s="685" t="e">
        <f t="shared" si="264"/>
        <v>#DIV/0!</v>
      </c>
      <c r="H594" s="685" t="e">
        <f t="shared" si="266"/>
        <v>#DIV/0!</v>
      </c>
    </row>
    <row r="595" spans="1:9" hidden="1" x14ac:dyDescent="0.25">
      <c r="A595" s="463" t="s">
        <v>141</v>
      </c>
      <c r="B595" s="479" t="s">
        <v>142</v>
      </c>
      <c r="C595" s="424">
        <f>SUM(C596)</f>
        <v>0</v>
      </c>
      <c r="D595" s="424">
        <f>SUM(D596)</f>
        <v>0</v>
      </c>
      <c r="E595" s="424">
        <f>SUM(E596)</f>
        <v>0</v>
      </c>
      <c r="F595" s="424">
        <f t="shared" ref="F595" si="267">SUM(F596)</f>
        <v>0</v>
      </c>
      <c r="G595" s="685" t="e">
        <f t="shared" si="264"/>
        <v>#DIV/0!</v>
      </c>
      <c r="H595" s="685" t="e">
        <f t="shared" si="266"/>
        <v>#DIV/0!</v>
      </c>
    </row>
    <row r="596" spans="1:9" hidden="1" x14ac:dyDescent="0.25">
      <c r="A596" s="425" t="s">
        <v>502</v>
      </c>
      <c r="B596" s="430" t="s">
        <v>305</v>
      </c>
      <c r="C596" s="429"/>
      <c r="D596" s="429"/>
      <c r="E596" s="429"/>
      <c r="F596" s="429">
        <v>0</v>
      </c>
      <c r="G596" s="685" t="e">
        <f t="shared" si="264"/>
        <v>#DIV/0!</v>
      </c>
      <c r="H596" s="685" t="e">
        <f t="shared" si="266"/>
        <v>#DIV/0!</v>
      </c>
    </row>
    <row r="597" spans="1:9" s="761" customFormat="1" hidden="1" x14ac:dyDescent="0.25">
      <c r="A597" s="422" t="s">
        <v>219</v>
      </c>
      <c r="B597" s="431" t="s">
        <v>144</v>
      </c>
      <c r="C597" s="424">
        <f>C598</f>
        <v>0</v>
      </c>
      <c r="D597" s="424">
        <f>D598</f>
        <v>0</v>
      </c>
      <c r="E597" s="424">
        <f>E598</f>
        <v>0</v>
      </c>
      <c r="F597" s="424">
        <f t="shared" ref="F597" si="268">F598</f>
        <v>0</v>
      </c>
      <c r="G597" s="685" t="e">
        <f t="shared" si="264"/>
        <v>#DIV/0!</v>
      </c>
      <c r="H597" s="685" t="e">
        <f t="shared" si="266"/>
        <v>#DIV/0!</v>
      </c>
      <c r="I597" s="830"/>
    </row>
    <row r="598" spans="1:9" s="761" customFormat="1" hidden="1" x14ac:dyDescent="0.25">
      <c r="A598" s="463" t="s">
        <v>221</v>
      </c>
      <c r="B598" s="479" t="s">
        <v>148</v>
      </c>
      <c r="C598" s="424">
        <f>SUM(C599)</f>
        <v>0</v>
      </c>
      <c r="D598" s="424">
        <f>SUM(D599)</f>
        <v>0</v>
      </c>
      <c r="E598" s="424">
        <f>SUM(E599)</f>
        <v>0</v>
      </c>
      <c r="F598" s="424">
        <f t="shared" ref="F598" si="269">SUM(F599)</f>
        <v>0</v>
      </c>
      <c r="G598" s="685" t="e">
        <f t="shared" si="264"/>
        <v>#DIV/0!</v>
      </c>
      <c r="H598" s="685" t="e">
        <f t="shared" si="266"/>
        <v>#DIV/0!</v>
      </c>
      <c r="I598" s="830"/>
    </row>
    <row r="599" spans="1:9" hidden="1" x14ac:dyDescent="0.25">
      <c r="A599" s="425" t="s">
        <v>535</v>
      </c>
      <c r="B599" s="430" t="s">
        <v>148</v>
      </c>
      <c r="C599" s="429"/>
      <c r="D599" s="429"/>
      <c r="E599" s="429"/>
      <c r="F599" s="429">
        <v>0</v>
      </c>
      <c r="G599" s="685" t="e">
        <f t="shared" si="264"/>
        <v>#DIV/0!</v>
      </c>
      <c r="H599" s="685" t="e">
        <f t="shared" si="266"/>
        <v>#DIV/0!</v>
      </c>
    </row>
    <row r="600" spans="1:9" hidden="1" x14ac:dyDescent="0.25">
      <c r="A600" s="445">
        <v>4</v>
      </c>
      <c r="B600" s="446" t="s">
        <v>174</v>
      </c>
      <c r="C600" s="447">
        <f t="shared" ref="C600:E601" si="270">C601</f>
        <v>0</v>
      </c>
      <c r="D600" s="447">
        <f t="shared" si="270"/>
        <v>0</v>
      </c>
      <c r="E600" s="447">
        <f t="shared" si="270"/>
        <v>0</v>
      </c>
      <c r="F600" s="447">
        <f t="shared" ref="F600:F601" si="271">F601</f>
        <v>0</v>
      </c>
      <c r="G600" s="687" t="e">
        <f t="shared" si="264"/>
        <v>#DIV/0!</v>
      </c>
      <c r="H600" s="687" t="e">
        <f t="shared" si="266"/>
        <v>#DIV/0!</v>
      </c>
    </row>
    <row r="601" spans="1:9" hidden="1" x14ac:dyDescent="0.25">
      <c r="A601" s="419" t="s">
        <v>344</v>
      </c>
      <c r="B601" s="448" t="s">
        <v>197</v>
      </c>
      <c r="C601" s="421">
        <f t="shared" si="270"/>
        <v>0</v>
      </c>
      <c r="D601" s="421">
        <f t="shared" si="270"/>
        <v>0</v>
      </c>
      <c r="E601" s="421">
        <f t="shared" si="270"/>
        <v>0</v>
      </c>
      <c r="F601" s="421">
        <f t="shared" si="271"/>
        <v>0</v>
      </c>
      <c r="G601" s="684" t="e">
        <f t="shared" si="264"/>
        <v>#DIV/0!</v>
      </c>
      <c r="H601" s="684" t="e">
        <f t="shared" si="266"/>
        <v>#DIV/0!</v>
      </c>
    </row>
    <row r="602" spans="1:9" hidden="1" x14ac:dyDescent="0.25">
      <c r="A602" s="422" t="s">
        <v>223</v>
      </c>
      <c r="B602" s="423" t="s">
        <v>199</v>
      </c>
      <c r="C602" s="424">
        <f>C603+C605+C607</f>
        <v>0</v>
      </c>
      <c r="D602" s="424">
        <f>D603+D605+D607</f>
        <v>0</v>
      </c>
      <c r="E602" s="424">
        <f>E603+E605+E607</f>
        <v>0</v>
      </c>
      <c r="F602" s="424">
        <f t="shared" ref="F602" si="272">F603+F605+F607</f>
        <v>0</v>
      </c>
      <c r="G602" s="685" t="e">
        <f t="shared" si="264"/>
        <v>#DIV/0!</v>
      </c>
      <c r="H602" s="685" t="e">
        <f t="shared" si="266"/>
        <v>#DIV/0!</v>
      </c>
    </row>
    <row r="603" spans="1:9" hidden="1" x14ac:dyDescent="0.25">
      <c r="A603" s="463" t="s">
        <v>185</v>
      </c>
      <c r="B603" s="466" t="s">
        <v>186</v>
      </c>
      <c r="C603" s="424">
        <f>SUM(C604)</f>
        <v>0</v>
      </c>
      <c r="D603" s="424">
        <f>SUM(D604)</f>
        <v>0</v>
      </c>
      <c r="E603" s="424">
        <f>SUM(E604)</f>
        <v>0</v>
      </c>
      <c r="F603" s="424">
        <f t="shared" ref="F603" si="273">SUM(F604)</f>
        <v>0</v>
      </c>
      <c r="G603" s="685" t="e">
        <f t="shared" si="264"/>
        <v>#DIV/0!</v>
      </c>
      <c r="H603" s="685" t="e">
        <f t="shared" si="266"/>
        <v>#DIV/0!</v>
      </c>
    </row>
    <row r="604" spans="1:9" hidden="1" x14ac:dyDescent="0.25">
      <c r="A604" s="425" t="s">
        <v>509</v>
      </c>
      <c r="B604" s="426" t="s">
        <v>446</v>
      </c>
      <c r="C604" s="429"/>
      <c r="D604" s="429"/>
      <c r="E604" s="429"/>
      <c r="F604" s="429">
        <v>0</v>
      </c>
      <c r="G604" s="685" t="e">
        <f t="shared" si="264"/>
        <v>#DIV/0!</v>
      </c>
      <c r="H604" s="685" t="e">
        <f t="shared" si="266"/>
        <v>#DIV/0!</v>
      </c>
    </row>
    <row r="605" spans="1:9" hidden="1" x14ac:dyDescent="0.25">
      <c r="A605" s="463" t="s">
        <v>228</v>
      </c>
      <c r="B605" s="466" t="s">
        <v>189</v>
      </c>
      <c r="C605" s="424">
        <f>SUM(C606)</f>
        <v>0</v>
      </c>
      <c r="D605" s="424">
        <f>SUM(D606)</f>
        <v>0</v>
      </c>
      <c r="E605" s="424">
        <f>SUM(E606)</f>
        <v>0</v>
      </c>
      <c r="F605" s="424">
        <f t="shared" ref="F605" si="274">SUM(F606)</f>
        <v>0</v>
      </c>
      <c r="G605" s="685" t="e">
        <f t="shared" si="264"/>
        <v>#DIV/0!</v>
      </c>
      <c r="H605" s="685" t="e">
        <f t="shared" si="266"/>
        <v>#DIV/0!</v>
      </c>
    </row>
    <row r="606" spans="1:9" hidden="1" x14ac:dyDescent="0.25">
      <c r="A606" s="425" t="s">
        <v>510</v>
      </c>
      <c r="B606" s="426" t="s">
        <v>449</v>
      </c>
      <c r="C606" s="429"/>
      <c r="D606" s="429"/>
      <c r="E606" s="429"/>
      <c r="F606" s="429">
        <v>0</v>
      </c>
      <c r="G606" s="685" t="e">
        <f t="shared" si="264"/>
        <v>#DIV/0!</v>
      </c>
      <c r="H606" s="685" t="e">
        <f t="shared" si="266"/>
        <v>#DIV/0!</v>
      </c>
    </row>
    <row r="607" spans="1:9" hidden="1" x14ac:dyDescent="0.25">
      <c r="A607" s="463" t="s">
        <v>345</v>
      </c>
      <c r="B607" s="466" t="s">
        <v>192</v>
      </c>
      <c r="C607" s="424">
        <f>SUM(C608)</f>
        <v>0</v>
      </c>
      <c r="D607" s="424">
        <f>SUM(D608)</f>
        <v>0</v>
      </c>
      <c r="E607" s="424">
        <f>SUM(E608)</f>
        <v>0</v>
      </c>
      <c r="F607" s="424">
        <f t="shared" ref="F607" si="275">SUM(F608)</f>
        <v>0</v>
      </c>
      <c r="G607" s="685" t="e">
        <f t="shared" si="264"/>
        <v>#DIV/0!</v>
      </c>
      <c r="H607" s="685" t="e">
        <f t="shared" si="266"/>
        <v>#DIV/0!</v>
      </c>
    </row>
    <row r="608" spans="1:9" hidden="1" x14ac:dyDescent="0.25">
      <c r="A608" s="425" t="s">
        <v>511</v>
      </c>
      <c r="B608" s="426" t="s">
        <v>192</v>
      </c>
      <c r="C608" s="429"/>
      <c r="D608" s="429"/>
      <c r="E608" s="429"/>
      <c r="F608" s="429">
        <v>0</v>
      </c>
      <c r="G608" s="685" t="e">
        <f t="shared" si="264"/>
        <v>#DIV/0!</v>
      </c>
      <c r="H608" s="685" t="e">
        <f t="shared" si="266"/>
        <v>#DIV/0!</v>
      </c>
    </row>
    <row r="609" spans="1:13" ht="56.25" x14ac:dyDescent="0.25">
      <c r="A609" s="469" t="s">
        <v>312</v>
      </c>
      <c r="B609" s="470" t="s">
        <v>596</v>
      </c>
      <c r="C609" s="418">
        <f>C610</f>
        <v>0</v>
      </c>
      <c r="D609" s="418">
        <f>D610</f>
        <v>14000</v>
      </c>
      <c r="E609" s="418">
        <f t="shared" ref="E609:F609" si="276">E610</f>
        <v>14000</v>
      </c>
      <c r="F609" s="418">
        <f t="shared" si="276"/>
        <v>6933.12</v>
      </c>
      <c r="G609" s="682">
        <f t="shared" si="264"/>
        <v>49.522285714285715</v>
      </c>
      <c r="H609" s="682">
        <f t="shared" si="266"/>
        <v>49.522285714285715</v>
      </c>
      <c r="I609" s="831">
        <f>F609+F531+F297</f>
        <v>26495.16</v>
      </c>
    </row>
    <row r="610" spans="1:13" s="781" customFormat="1" ht="15" x14ac:dyDescent="0.25">
      <c r="A610" s="454">
        <v>52</v>
      </c>
      <c r="B610" s="455" t="s">
        <v>224</v>
      </c>
      <c r="C610" s="456">
        <f>C611</f>
        <v>0</v>
      </c>
      <c r="D610" s="456">
        <f>D611</f>
        <v>14000</v>
      </c>
      <c r="E610" s="456">
        <f>E611</f>
        <v>14000</v>
      </c>
      <c r="F610" s="456">
        <f>F611</f>
        <v>6933.12</v>
      </c>
      <c r="G610" s="689">
        <f t="shared" si="264"/>
        <v>49.522285714285715</v>
      </c>
      <c r="H610" s="689">
        <f t="shared" si="266"/>
        <v>49.522285714285715</v>
      </c>
      <c r="I610" s="848"/>
    </row>
    <row r="611" spans="1:13" x14ac:dyDescent="0.25">
      <c r="A611" s="467" t="s">
        <v>86</v>
      </c>
      <c r="B611" s="472" t="s">
        <v>87</v>
      </c>
      <c r="C611" s="447">
        <f>C612+C619</f>
        <v>0</v>
      </c>
      <c r="D611" s="447">
        <f>D612+D619</f>
        <v>14000</v>
      </c>
      <c r="E611" s="447">
        <f>E612+E619</f>
        <v>14000</v>
      </c>
      <c r="F611" s="447">
        <f>F612+F619</f>
        <v>6933.12</v>
      </c>
      <c r="G611" s="687">
        <f t="shared" si="264"/>
        <v>49.522285714285715</v>
      </c>
      <c r="H611" s="687">
        <f t="shared" si="266"/>
        <v>49.522285714285715</v>
      </c>
    </row>
    <row r="612" spans="1:13" x14ac:dyDescent="0.25">
      <c r="A612" s="419">
        <v>31</v>
      </c>
      <c r="B612" s="420" t="s">
        <v>88</v>
      </c>
      <c r="C612" s="421">
        <f>C613+C617</f>
        <v>0</v>
      </c>
      <c r="D612" s="421">
        <f>D613+D617</f>
        <v>9000</v>
      </c>
      <c r="E612" s="421">
        <f>E613+E617</f>
        <v>5200</v>
      </c>
      <c r="F612" s="421">
        <f>F613+F617</f>
        <v>1008.78</v>
      </c>
      <c r="G612" s="684">
        <f t="shared" si="264"/>
        <v>11.208666666666666</v>
      </c>
      <c r="H612" s="684">
        <f t="shared" si="266"/>
        <v>19.399615384615384</v>
      </c>
    </row>
    <row r="613" spans="1:13" s="761" customFormat="1" x14ac:dyDescent="0.25">
      <c r="A613" s="422">
        <v>311</v>
      </c>
      <c r="B613" s="423" t="s">
        <v>89</v>
      </c>
      <c r="C613" s="424">
        <f>C614+C616</f>
        <v>0</v>
      </c>
      <c r="D613" s="424">
        <f>D614+D616</f>
        <v>9000</v>
      </c>
      <c r="E613" s="424">
        <f>E614+E616</f>
        <v>5200</v>
      </c>
      <c r="F613" s="424">
        <f>F614+F616</f>
        <v>1008.78</v>
      </c>
      <c r="G613" s="685">
        <f t="shared" si="264"/>
        <v>11.208666666666666</v>
      </c>
      <c r="H613" s="685">
        <f t="shared" si="266"/>
        <v>19.399615384615384</v>
      </c>
      <c r="I613" s="830"/>
    </row>
    <row r="614" spans="1:13" x14ac:dyDescent="0.25">
      <c r="A614" s="463">
        <v>3111</v>
      </c>
      <c r="B614" s="466" t="s">
        <v>90</v>
      </c>
      <c r="C614" s="424">
        <f>C615</f>
        <v>0</v>
      </c>
      <c r="D614" s="424">
        <f>D615</f>
        <v>9000</v>
      </c>
      <c r="E614" s="424">
        <f>E615</f>
        <v>5200</v>
      </c>
      <c r="F614" s="424">
        <f>F615</f>
        <v>1008.78</v>
      </c>
      <c r="G614" s="685">
        <f t="shared" si="264"/>
        <v>11.208666666666666</v>
      </c>
      <c r="H614" s="685">
        <f>F614/E614*100</f>
        <v>19.399615384615384</v>
      </c>
      <c r="M614" s="799"/>
    </row>
    <row r="615" spans="1:13" x14ac:dyDescent="0.25">
      <c r="A615" s="425" t="s">
        <v>466</v>
      </c>
      <c r="B615" s="426" t="s">
        <v>90</v>
      </c>
      <c r="C615" s="429">
        <v>0</v>
      </c>
      <c r="D615" s="429">
        <v>9000</v>
      </c>
      <c r="E615" s="429">
        <v>5200</v>
      </c>
      <c r="F615" s="429">
        <v>1008.78</v>
      </c>
      <c r="G615" s="685"/>
      <c r="H615" s="858">
        <f>F615/E615*100</f>
        <v>19.399615384615384</v>
      </c>
      <c r="I615" s="831">
        <v>1008.78</v>
      </c>
      <c r="M615" s="799"/>
    </row>
    <row r="616" spans="1:13" x14ac:dyDescent="0.25">
      <c r="A616" s="425" t="s">
        <v>93</v>
      </c>
      <c r="B616" s="426" t="s">
        <v>94</v>
      </c>
      <c r="C616" s="429"/>
      <c r="D616" s="429"/>
      <c r="E616" s="429"/>
      <c r="F616" s="429"/>
      <c r="G616" s="685" t="e">
        <f t="shared" si="264"/>
        <v>#DIV/0!</v>
      </c>
      <c r="H616" s="685" t="e">
        <f t="shared" si="266"/>
        <v>#DIV/0!</v>
      </c>
      <c r="M616" s="799"/>
    </row>
    <row r="617" spans="1:13" s="761" customFormat="1" x14ac:dyDescent="0.25">
      <c r="A617" s="427">
        <v>313</v>
      </c>
      <c r="B617" s="423" t="s">
        <v>100</v>
      </c>
      <c r="C617" s="424">
        <f>C618</f>
        <v>0</v>
      </c>
      <c r="D617" s="424">
        <f>D618</f>
        <v>0</v>
      </c>
      <c r="E617" s="424">
        <f>E618</f>
        <v>0</v>
      </c>
      <c r="F617" s="424">
        <f t="shared" ref="F617" si="277">F618</f>
        <v>0</v>
      </c>
      <c r="G617" s="685" t="e">
        <f t="shared" si="264"/>
        <v>#DIV/0!</v>
      </c>
      <c r="H617" s="685" t="e">
        <f t="shared" si="266"/>
        <v>#DIV/0!</v>
      </c>
      <c r="I617" s="830"/>
      <c r="M617" s="859"/>
    </row>
    <row r="618" spans="1:13" x14ac:dyDescent="0.25">
      <c r="A618" s="428">
        <v>3132</v>
      </c>
      <c r="B618" s="426" t="s">
        <v>101</v>
      </c>
      <c r="C618" s="429"/>
      <c r="D618" s="429"/>
      <c r="E618" s="429"/>
      <c r="F618" s="429"/>
      <c r="G618" s="685" t="e">
        <f t="shared" si="264"/>
        <v>#DIV/0!</v>
      </c>
      <c r="H618" s="685" t="e">
        <f t="shared" si="266"/>
        <v>#DIV/0!</v>
      </c>
      <c r="M618" s="799">
        <v>500</v>
      </c>
    </row>
    <row r="619" spans="1:13" s="761" customFormat="1" x14ac:dyDescent="0.25">
      <c r="A619" s="419">
        <v>32</v>
      </c>
      <c r="B619" s="420" t="s">
        <v>102</v>
      </c>
      <c r="C619" s="421">
        <f>C620+C629+C638</f>
        <v>0</v>
      </c>
      <c r="D619" s="421">
        <f>D620+D629+D638</f>
        <v>5000</v>
      </c>
      <c r="E619" s="421">
        <f>E620+E629+E638+E647</f>
        <v>8800</v>
      </c>
      <c r="F619" s="421">
        <f>F620+F629+F638+F647</f>
        <v>5924.34</v>
      </c>
      <c r="G619" s="684">
        <f t="shared" si="264"/>
        <v>118.4868</v>
      </c>
      <c r="H619" s="684">
        <f t="shared" si="266"/>
        <v>67.32204545454546</v>
      </c>
      <c r="I619" s="830"/>
      <c r="M619" s="859">
        <v>114.9</v>
      </c>
    </row>
    <row r="620" spans="1:13" s="761" customFormat="1" x14ac:dyDescent="0.25">
      <c r="A620" s="422">
        <v>321</v>
      </c>
      <c r="B620" s="423" t="s">
        <v>103</v>
      </c>
      <c r="C620" s="424">
        <f>C621+C625</f>
        <v>0</v>
      </c>
      <c r="D620" s="424">
        <f>D621+D625</f>
        <v>1000</v>
      </c>
      <c r="E620" s="424">
        <f>E621+E625+E627</f>
        <v>3000</v>
      </c>
      <c r="F620" s="424">
        <f>F621+F625+F627</f>
        <v>3112.22</v>
      </c>
      <c r="G620" s="685">
        <f t="shared" si="264"/>
        <v>311.22199999999998</v>
      </c>
      <c r="H620" s="685">
        <f t="shared" si="266"/>
        <v>103.74066666666666</v>
      </c>
      <c r="I620" s="830"/>
      <c r="M620" s="859">
        <v>64.53</v>
      </c>
    </row>
    <row r="621" spans="1:13" s="761" customFormat="1" x14ac:dyDescent="0.25">
      <c r="A621" s="422" t="s">
        <v>104</v>
      </c>
      <c r="B621" s="423" t="s">
        <v>105</v>
      </c>
      <c r="C621" s="424">
        <f>C622+C623+C624</f>
        <v>0</v>
      </c>
      <c r="D621" s="424">
        <f>D622+D623+D624</f>
        <v>1000</v>
      </c>
      <c r="E621" s="424">
        <f>E622+E623+E624</f>
        <v>1600</v>
      </c>
      <c r="F621" s="424">
        <f>F622+F623+F624</f>
        <v>3000.22</v>
      </c>
      <c r="G621" s="685">
        <f t="shared" si="264"/>
        <v>300.02199999999999</v>
      </c>
      <c r="H621" s="685">
        <f t="shared" si="266"/>
        <v>187.51374999999999</v>
      </c>
      <c r="I621" s="830"/>
      <c r="M621" s="859">
        <v>168</v>
      </c>
    </row>
    <row r="622" spans="1:13" s="761" customFormat="1" x14ac:dyDescent="0.25">
      <c r="A622" s="468" t="s">
        <v>508</v>
      </c>
      <c r="B622" s="426" t="s">
        <v>388</v>
      </c>
      <c r="C622" s="429">
        <v>0</v>
      </c>
      <c r="D622" s="429">
        <v>1000</v>
      </c>
      <c r="E622" s="429">
        <v>600</v>
      </c>
      <c r="F622" s="429">
        <v>2029.32</v>
      </c>
      <c r="G622" s="685">
        <f t="shared" si="264"/>
        <v>202.93199999999999</v>
      </c>
      <c r="H622" s="685">
        <f t="shared" si="266"/>
        <v>338.22</v>
      </c>
      <c r="I622" s="829">
        <f>1429.32+(150*4)</f>
        <v>2029.32</v>
      </c>
      <c r="M622" s="859">
        <v>135</v>
      </c>
    </row>
    <row r="623" spans="1:13" s="761" customFormat="1" x14ac:dyDescent="0.25">
      <c r="A623" s="468">
        <v>32113</v>
      </c>
      <c r="B623" s="426" t="s">
        <v>390</v>
      </c>
      <c r="C623" s="429"/>
      <c r="D623" s="429"/>
      <c r="E623" s="429">
        <v>600</v>
      </c>
      <c r="F623" s="429">
        <v>600</v>
      </c>
      <c r="G623" s="685" t="e">
        <f t="shared" ref="G623:G643" si="278">F623/D623*100</f>
        <v>#DIV/0!</v>
      </c>
      <c r="H623" s="685">
        <f t="shared" ref="H623:H643" si="279">F623/E623*100</f>
        <v>100</v>
      </c>
      <c r="I623" s="829">
        <v>600</v>
      </c>
      <c r="M623" s="859">
        <v>429.69</v>
      </c>
    </row>
    <row r="624" spans="1:13" s="761" customFormat="1" x14ac:dyDescent="0.25">
      <c r="A624" s="468">
        <v>32115</v>
      </c>
      <c r="B624" s="426" t="s">
        <v>391</v>
      </c>
      <c r="C624" s="429"/>
      <c r="D624" s="429"/>
      <c r="E624" s="429">
        <v>400</v>
      </c>
      <c r="F624" s="429">
        <v>370.9</v>
      </c>
      <c r="G624" s="685" t="e">
        <f t="shared" si="278"/>
        <v>#DIV/0!</v>
      </c>
      <c r="H624" s="685">
        <f t="shared" si="279"/>
        <v>92.724999999999994</v>
      </c>
      <c r="I624" s="829">
        <f>70+300.9</f>
        <v>370.9</v>
      </c>
      <c r="M624" s="859">
        <v>200</v>
      </c>
    </row>
    <row r="625" spans="1:13" x14ac:dyDescent="0.25">
      <c r="A625" s="463" t="s">
        <v>106</v>
      </c>
      <c r="B625" s="423" t="s">
        <v>107</v>
      </c>
      <c r="C625" s="424">
        <f>C626</f>
        <v>0</v>
      </c>
      <c r="D625" s="424">
        <f>D626</f>
        <v>0</v>
      </c>
      <c r="E625" s="424">
        <f>E626</f>
        <v>400</v>
      </c>
      <c r="F625" s="424">
        <f>F626</f>
        <v>112</v>
      </c>
      <c r="G625" s="685" t="e">
        <f t="shared" si="278"/>
        <v>#DIV/0!</v>
      </c>
      <c r="H625" s="685">
        <f t="shared" si="279"/>
        <v>28.000000000000004</v>
      </c>
      <c r="M625" s="799">
        <v>200</v>
      </c>
    </row>
    <row r="626" spans="1:13" x14ac:dyDescent="0.25">
      <c r="A626" s="468" t="s">
        <v>477</v>
      </c>
      <c r="B626" s="476" t="s">
        <v>107</v>
      </c>
      <c r="C626" s="429"/>
      <c r="D626" s="429"/>
      <c r="E626" s="429">
        <v>400</v>
      </c>
      <c r="F626" s="429">
        <v>112</v>
      </c>
      <c r="G626" s="685" t="e">
        <f t="shared" si="278"/>
        <v>#DIV/0!</v>
      </c>
      <c r="H626" s="685">
        <f t="shared" si="279"/>
        <v>28.000000000000004</v>
      </c>
      <c r="I626" s="831">
        <v>112</v>
      </c>
      <c r="M626" s="799">
        <v>600</v>
      </c>
    </row>
    <row r="627" spans="1:13" x14ac:dyDescent="0.25">
      <c r="A627" s="463" t="s">
        <v>108</v>
      </c>
      <c r="B627" s="466" t="s">
        <v>109</v>
      </c>
      <c r="C627" s="757">
        <f>C628</f>
        <v>0</v>
      </c>
      <c r="D627" s="757">
        <f>D628</f>
        <v>0</v>
      </c>
      <c r="E627" s="757">
        <f t="shared" ref="E627:F627" si="280">E628</f>
        <v>1000</v>
      </c>
      <c r="F627" s="757">
        <f t="shared" si="280"/>
        <v>0</v>
      </c>
      <c r="G627" s="685" t="e">
        <f t="shared" si="278"/>
        <v>#DIV/0!</v>
      </c>
      <c r="H627" s="685">
        <f t="shared" si="279"/>
        <v>0</v>
      </c>
      <c r="M627" s="799">
        <v>1000</v>
      </c>
    </row>
    <row r="628" spans="1:13" x14ac:dyDescent="0.25">
      <c r="A628" s="468" t="s">
        <v>498</v>
      </c>
      <c r="B628" s="476" t="s">
        <v>393</v>
      </c>
      <c r="C628" s="429"/>
      <c r="D628" s="429"/>
      <c r="E628" s="429">
        <v>1000</v>
      </c>
      <c r="F628" s="429"/>
      <c r="G628" s="685" t="e">
        <f t="shared" si="278"/>
        <v>#DIV/0!</v>
      </c>
      <c r="H628" s="685">
        <f t="shared" si="279"/>
        <v>0</v>
      </c>
      <c r="M628" s="799">
        <v>1008.78</v>
      </c>
    </row>
    <row r="629" spans="1:13" s="761" customFormat="1" x14ac:dyDescent="0.25">
      <c r="A629" s="422" t="s">
        <v>112</v>
      </c>
      <c r="B629" s="423" t="s">
        <v>113</v>
      </c>
      <c r="C629" s="424">
        <f t="shared" ref="C629:D629" si="281">C630+C633+C634</f>
        <v>0</v>
      </c>
      <c r="D629" s="424">
        <f t="shared" si="281"/>
        <v>1500</v>
      </c>
      <c r="E629" s="424">
        <f>E630+E633+E634</f>
        <v>2500</v>
      </c>
      <c r="F629" s="424">
        <f>F630+F633+F634</f>
        <v>1109.1199999999999</v>
      </c>
      <c r="G629" s="685">
        <f t="shared" si="278"/>
        <v>73.941333333333318</v>
      </c>
      <c r="H629" s="685">
        <f t="shared" si="279"/>
        <v>44.364799999999995</v>
      </c>
      <c r="I629" s="830"/>
      <c r="M629" s="859">
        <v>1429.32</v>
      </c>
    </row>
    <row r="630" spans="1:13" x14ac:dyDescent="0.25">
      <c r="A630" s="463" t="s">
        <v>114</v>
      </c>
      <c r="B630" s="758" t="s">
        <v>115</v>
      </c>
      <c r="C630" s="424">
        <f>C631+C632</f>
        <v>0</v>
      </c>
      <c r="D630" s="424">
        <f>D631+D632</f>
        <v>0</v>
      </c>
      <c r="E630" s="424">
        <f>E631+E632</f>
        <v>2000</v>
      </c>
      <c r="F630" s="424">
        <f>F631+F632</f>
        <v>1109.1199999999999</v>
      </c>
      <c r="G630" s="685" t="e">
        <f t="shared" si="278"/>
        <v>#DIV/0!</v>
      </c>
      <c r="H630" s="685">
        <f t="shared" si="279"/>
        <v>55.455999999999996</v>
      </c>
      <c r="M630" s="799">
        <v>600</v>
      </c>
    </row>
    <row r="631" spans="1:13" x14ac:dyDescent="0.25">
      <c r="A631" s="468" t="s">
        <v>499</v>
      </c>
      <c r="B631" s="783" t="s">
        <v>395</v>
      </c>
      <c r="C631" s="429"/>
      <c r="D631" s="429"/>
      <c r="E631" s="429">
        <v>800</v>
      </c>
      <c r="F631" s="429">
        <v>494.22</v>
      </c>
      <c r="G631" s="685" t="e">
        <f t="shared" si="278"/>
        <v>#DIV/0!</v>
      </c>
      <c r="H631" s="685">
        <f t="shared" si="279"/>
        <v>61.777500000000011</v>
      </c>
      <c r="I631" s="832">
        <f>64.53+429.69</f>
        <v>494.22</v>
      </c>
      <c r="M631" s="799">
        <v>70</v>
      </c>
    </row>
    <row r="632" spans="1:13" x14ac:dyDescent="0.25">
      <c r="A632" s="468">
        <v>32219</v>
      </c>
      <c r="B632" s="783" t="s">
        <v>399</v>
      </c>
      <c r="C632" s="429"/>
      <c r="D632" s="429"/>
      <c r="E632" s="429">
        <v>1200</v>
      </c>
      <c r="F632" s="429">
        <v>614.9</v>
      </c>
      <c r="G632" s="685" t="e">
        <f t="shared" si="278"/>
        <v>#DIV/0!</v>
      </c>
      <c r="H632" s="685">
        <f t="shared" si="279"/>
        <v>51.24166666666666</v>
      </c>
      <c r="I632" s="832">
        <f>500+114.9</f>
        <v>614.9</v>
      </c>
      <c r="M632" s="799">
        <v>300.89999999999998</v>
      </c>
    </row>
    <row r="633" spans="1:13" x14ac:dyDescent="0.25">
      <c r="A633" s="463" t="s">
        <v>116</v>
      </c>
      <c r="B633" s="758" t="s">
        <v>117</v>
      </c>
      <c r="C633" s="424"/>
      <c r="D633" s="424"/>
      <c r="E633" s="424"/>
      <c r="F633" s="424"/>
      <c r="G633" s="685" t="e">
        <f t="shared" si="278"/>
        <v>#DIV/0!</v>
      </c>
      <c r="H633" s="685" t="e">
        <f t="shared" si="279"/>
        <v>#DIV/0!</v>
      </c>
      <c r="M633" s="799">
        <v>112</v>
      </c>
    </row>
    <row r="634" spans="1:13" x14ac:dyDescent="0.25">
      <c r="A634" s="463" t="s">
        <v>118</v>
      </c>
      <c r="B634" s="758" t="s">
        <v>119</v>
      </c>
      <c r="C634" s="424">
        <f>C635</f>
        <v>0</v>
      </c>
      <c r="D634" s="424">
        <f>D635</f>
        <v>1500</v>
      </c>
      <c r="E634" s="424">
        <f>E635</f>
        <v>500</v>
      </c>
      <c r="F634" s="424">
        <f>F635</f>
        <v>0</v>
      </c>
      <c r="G634" s="685">
        <f t="shared" si="278"/>
        <v>0</v>
      </c>
      <c r="H634" s="685">
        <f t="shared" si="279"/>
        <v>0</v>
      </c>
      <c r="M634" s="799"/>
    </row>
    <row r="635" spans="1:13" x14ac:dyDescent="0.25">
      <c r="A635" s="425" t="s">
        <v>485</v>
      </c>
      <c r="B635" s="477" t="s">
        <v>403</v>
      </c>
      <c r="C635" s="429">
        <v>0</v>
      </c>
      <c r="D635" s="429">
        <v>1500</v>
      </c>
      <c r="E635" s="429">
        <v>500</v>
      </c>
      <c r="F635" s="429"/>
      <c r="G635" s="685">
        <f t="shared" si="278"/>
        <v>0</v>
      </c>
      <c r="H635" s="685">
        <f t="shared" si="279"/>
        <v>0</v>
      </c>
      <c r="M635" s="799"/>
    </row>
    <row r="636" spans="1:13" x14ac:dyDescent="0.25">
      <c r="A636" s="463" t="s">
        <v>120</v>
      </c>
      <c r="B636" s="423" t="s">
        <v>321</v>
      </c>
      <c r="C636" s="424"/>
      <c r="D636" s="424"/>
      <c r="E636" s="424"/>
      <c r="F636" s="424"/>
      <c r="G636" s="685" t="e">
        <f t="shared" si="278"/>
        <v>#DIV/0!</v>
      </c>
      <c r="H636" s="685" t="e">
        <f t="shared" si="279"/>
        <v>#DIV/0!</v>
      </c>
      <c r="M636" s="799"/>
    </row>
    <row r="637" spans="1:13" x14ac:dyDescent="0.25">
      <c r="A637" s="463" t="s">
        <v>124</v>
      </c>
      <c r="B637" s="423" t="s">
        <v>125</v>
      </c>
      <c r="C637" s="424"/>
      <c r="D637" s="424"/>
      <c r="E637" s="424"/>
      <c r="F637" s="424"/>
      <c r="G637" s="685" t="e">
        <f t="shared" si="278"/>
        <v>#DIV/0!</v>
      </c>
      <c r="H637" s="685" t="e">
        <f t="shared" si="279"/>
        <v>#DIV/0!</v>
      </c>
      <c r="M637" s="799"/>
    </row>
    <row r="638" spans="1:13" s="761" customFormat="1" x14ac:dyDescent="0.25">
      <c r="A638" s="422" t="s">
        <v>126</v>
      </c>
      <c r="B638" s="431" t="s">
        <v>127</v>
      </c>
      <c r="C638" s="424">
        <f>C639+C641+C642+C643+C645</f>
        <v>0</v>
      </c>
      <c r="D638" s="424">
        <f>D639+D641+D642+D643+D645</f>
        <v>2500</v>
      </c>
      <c r="E638" s="424">
        <f>E639+E641+E642+E643+E645</f>
        <v>2300</v>
      </c>
      <c r="F638" s="424">
        <f>F639+F641+F642+F643+F645</f>
        <v>703</v>
      </c>
      <c r="G638" s="685">
        <f t="shared" si="278"/>
        <v>28.12</v>
      </c>
      <c r="H638" s="685">
        <f t="shared" si="279"/>
        <v>30.565217391304351</v>
      </c>
      <c r="I638" s="830"/>
      <c r="M638" s="859"/>
    </row>
    <row r="639" spans="1:13" s="767" customFormat="1" x14ac:dyDescent="0.25">
      <c r="A639" s="463" t="s">
        <v>128</v>
      </c>
      <c r="B639" s="431" t="s">
        <v>129</v>
      </c>
      <c r="C639" s="424">
        <f>C640</f>
        <v>0</v>
      </c>
      <c r="D639" s="424">
        <f>D640</f>
        <v>0</v>
      </c>
      <c r="E639" s="424">
        <f t="shared" ref="E639:F639" si="282">E640</f>
        <v>800</v>
      </c>
      <c r="F639" s="424">
        <f t="shared" si="282"/>
        <v>400</v>
      </c>
      <c r="G639" s="685" t="e">
        <f t="shared" si="278"/>
        <v>#DIV/0!</v>
      </c>
      <c r="H639" s="685">
        <f t="shared" si="279"/>
        <v>50</v>
      </c>
      <c r="I639" s="829"/>
    </row>
    <row r="640" spans="1:13" s="767" customFormat="1" x14ac:dyDescent="0.25">
      <c r="A640" s="468" t="s">
        <v>591</v>
      </c>
      <c r="B640" s="478" t="s">
        <v>592</v>
      </c>
      <c r="C640" s="429"/>
      <c r="D640" s="429"/>
      <c r="E640" s="429">
        <v>800</v>
      </c>
      <c r="F640" s="429">
        <v>400</v>
      </c>
      <c r="G640" s="685" t="e">
        <f t="shared" si="278"/>
        <v>#DIV/0!</v>
      </c>
      <c r="H640" s="685">
        <f t="shared" si="279"/>
        <v>50</v>
      </c>
      <c r="I640" s="829">
        <f>200+200</f>
        <v>400</v>
      </c>
    </row>
    <row r="641" spans="1:9" x14ac:dyDescent="0.25">
      <c r="A641" s="463" t="s">
        <v>134</v>
      </c>
      <c r="B641" s="423" t="s">
        <v>135</v>
      </c>
      <c r="C641" s="424"/>
      <c r="D641" s="424"/>
      <c r="E641" s="424"/>
      <c r="F641" s="424"/>
      <c r="G641" s="685" t="e">
        <f t="shared" si="278"/>
        <v>#DIV/0!</v>
      </c>
      <c r="H641" s="685" t="e">
        <f t="shared" si="279"/>
        <v>#DIV/0!</v>
      </c>
    </row>
    <row r="642" spans="1:9" x14ac:dyDescent="0.25">
      <c r="A642" s="463" t="s">
        <v>217</v>
      </c>
      <c r="B642" s="423" t="s">
        <v>137</v>
      </c>
      <c r="C642" s="424"/>
      <c r="D642" s="424"/>
      <c r="E642" s="424"/>
      <c r="F642" s="424"/>
      <c r="G642" s="685" t="e">
        <f t="shared" si="278"/>
        <v>#DIV/0!</v>
      </c>
      <c r="H642" s="685" t="e">
        <f t="shared" si="279"/>
        <v>#DIV/0!</v>
      </c>
    </row>
    <row r="643" spans="1:9" x14ac:dyDescent="0.25">
      <c r="A643" s="463" t="s">
        <v>218</v>
      </c>
      <c r="B643" s="423" t="s">
        <v>138</v>
      </c>
      <c r="C643" s="424">
        <f>C644</f>
        <v>0</v>
      </c>
      <c r="D643" s="424">
        <f>D644</f>
        <v>2500</v>
      </c>
      <c r="E643" s="424">
        <f>E644</f>
        <v>1000</v>
      </c>
      <c r="F643" s="424">
        <f>F644</f>
        <v>0</v>
      </c>
      <c r="G643" s="685">
        <f t="shared" si="278"/>
        <v>0</v>
      </c>
      <c r="H643" s="685">
        <f t="shared" si="279"/>
        <v>0</v>
      </c>
    </row>
    <row r="644" spans="1:9" x14ac:dyDescent="0.25">
      <c r="A644" s="425" t="s">
        <v>501</v>
      </c>
      <c r="B644" s="426" t="s">
        <v>423</v>
      </c>
      <c r="C644" s="429">
        <v>0</v>
      </c>
      <c r="D644" s="429">
        <v>2500</v>
      </c>
      <c r="E644" s="429">
        <v>1000</v>
      </c>
      <c r="F644" s="429"/>
      <c r="G644" s="685">
        <f t="shared" si="264"/>
        <v>0</v>
      </c>
      <c r="H644" s="685">
        <f t="shared" si="266"/>
        <v>0</v>
      </c>
    </row>
    <row r="645" spans="1:9" x14ac:dyDescent="0.25">
      <c r="A645" s="463" t="s">
        <v>141</v>
      </c>
      <c r="B645" s="466" t="s">
        <v>142</v>
      </c>
      <c r="C645" s="757">
        <f>C646</f>
        <v>0</v>
      </c>
      <c r="D645" s="757">
        <f>D646</f>
        <v>0</v>
      </c>
      <c r="E645" s="757">
        <f t="shared" ref="E645:F645" si="283">E646</f>
        <v>500</v>
      </c>
      <c r="F645" s="757">
        <f t="shared" si="283"/>
        <v>303</v>
      </c>
      <c r="G645" s="685"/>
      <c r="H645" s="685"/>
    </row>
    <row r="646" spans="1:9" x14ac:dyDescent="0.25">
      <c r="A646" s="425" t="s">
        <v>502</v>
      </c>
      <c r="B646" s="426" t="s">
        <v>305</v>
      </c>
      <c r="C646" s="429"/>
      <c r="D646" s="429"/>
      <c r="E646" s="429">
        <v>500</v>
      </c>
      <c r="F646" s="429">
        <v>303</v>
      </c>
      <c r="G646" s="685"/>
      <c r="H646" s="685"/>
      <c r="I646" s="832">
        <f>168+135</f>
        <v>303</v>
      </c>
    </row>
    <row r="647" spans="1:9" x14ac:dyDescent="0.25">
      <c r="A647" s="463" t="s">
        <v>219</v>
      </c>
      <c r="B647" s="466" t="s">
        <v>144</v>
      </c>
      <c r="C647" s="424">
        <f>C648</f>
        <v>0</v>
      </c>
      <c r="D647" s="424">
        <f>D648</f>
        <v>0</v>
      </c>
      <c r="E647" s="424">
        <f t="shared" ref="E647:F648" si="284">E648</f>
        <v>1000</v>
      </c>
      <c r="F647" s="424">
        <f t="shared" si="284"/>
        <v>1000</v>
      </c>
      <c r="G647" s="685" t="e">
        <f t="shared" ref="G647:G649" si="285">F647/D647*100</f>
        <v>#DIV/0!</v>
      </c>
      <c r="H647" s="685">
        <f t="shared" ref="H647:H649" si="286">F647/E647*100</f>
        <v>100</v>
      </c>
    </row>
    <row r="648" spans="1:9" x14ac:dyDescent="0.25">
      <c r="A648" s="463" t="s">
        <v>141</v>
      </c>
      <c r="B648" s="466" t="s">
        <v>148</v>
      </c>
      <c r="C648" s="424">
        <f>C649</f>
        <v>0</v>
      </c>
      <c r="D648" s="424">
        <f>D649</f>
        <v>0</v>
      </c>
      <c r="E648" s="424">
        <f t="shared" si="284"/>
        <v>1000</v>
      </c>
      <c r="F648" s="424">
        <f t="shared" si="284"/>
        <v>1000</v>
      </c>
      <c r="G648" s="685" t="e">
        <f t="shared" si="285"/>
        <v>#DIV/0!</v>
      </c>
      <c r="H648" s="685">
        <f t="shared" si="286"/>
        <v>100</v>
      </c>
    </row>
    <row r="649" spans="1:9" x14ac:dyDescent="0.25">
      <c r="A649" s="425" t="s">
        <v>535</v>
      </c>
      <c r="B649" s="426" t="s">
        <v>148</v>
      </c>
      <c r="C649" s="429"/>
      <c r="D649" s="429"/>
      <c r="E649" s="429">
        <v>1000</v>
      </c>
      <c r="F649" s="429">
        <v>1000</v>
      </c>
      <c r="G649" s="685" t="e">
        <f t="shared" si="285"/>
        <v>#DIV/0!</v>
      </c>
      <c r="H649" s="685">
        <f t="shared" si="286"/>
        <v>100</v>
      </c>
      <c r="I649" s="831">
        <v>1000</v>
      </c>
    </row>
    <row r="650" spans="1:9" s="761" customFormat="1" x14ac:dyDescent="0.25">
      <c r="A650" s="459" t="s">
        <v>362</v>
      </c>
      <c r="B650" s="460" t="s">
        <v>292</v>
      </c>
      <c r="C650" s="421">
        <f t="shared" ref="C650:F651" si="287">C651</f>
        <v>0</v>
      </c>
      <c r="D650" s="421">
        <f t="shared" si="287"/>
        <v>0</v>
      </c>
      <c r="E650" s="421">
        <f t="shared" si="287"/>
        <v>0</v>
      </c>
      <c r="F650" s="421">
        <f t="shared" si="287"/>
        <v>0</v>
      </c>
      <c r="G650" s="684" t="e">
        <f t="shared" si="264"/>
        <v>#DIV/0!</v>
      </c>
      <c r="H650" s="684" t="e">
        <f t="shared" si="266"/>
        <v>#DIV/0!</v>
      </c>
      <c r="I650" s="830"/>
    </row>
    <row r="651" spans="1:9" s="761" customFormat="1" x14ac:dyDescent="0.25">
      <c r="A651" s="422" t="s">
        <v>363</v>
      </c>
      <c r="B651" s="423" t="s">
        <v>154</v>
      </c>
      <c r="C651" s="424">
        <f t="shared" si="287"/>
        <v>0</v>
      </c>
      <c r="D651" s="424">
        <f t="shared" si="287"/>
        <v>0</v>
      </c>
      <c r="E651" s="424">
        <f t="shared" si="287"/>
        <v>0</v>
      </c>
      <c r="F651" s="424">
        <f t="shared" si="287"/>
        <v>0</v>
      </c>
      <c r="G651" s="685" t="e">
        <f t="shared" si="264"/>
        <v>#DIV/0!</v>
      </c>
      <c r="H651" s="685" t="e">
        <f t="shared" si="266"/>
        <v>#DIV/0!</v>
      </c>
      <c r="I651" s="830"/>
    </row>
    <row r="652" spans="1:9" x14ac:dyDescent="0.25">
      <c r="A652" s="425" t="s">
        <v>364</v>
      </c>
      <c r="B652" s="426" t="s">
        <v>365</v>
      </c>
      <c r="C652" s="429"/>
      <c r="D652" s="429"/>
      <c r="E652" s="429"/>
      <c r="F652" s="429"/>
      <c r="G652" s="685" t="e">
        <f t="shared" si="264"/>
        <v>#DIV/0!</v>
      </c>
      <c r="H652" s="685" t="e">
        <f t="shared" si="266"/>
        <v>#DIV/0!</v>
      </c>
    </row>
    <row r="653" spans="1:9" s="760" customFormat="1" ht="56.25" x14ac:dyDescent="0.25">
      <c r="A653" s="469" t="s">
        <v>312</v>
      </c>
      <c r="B653" s="470" t="s">
        <v>611</v>
      </c>
      <c r="C653" s="418">
        <f>C654</f>
        <v>0</v>
      </c>
      <c r="D653" s="418">
        <f>D654</f>
        <v>49500</v>
      </c>
      <c r="E653" s="418">
        <f t="shared" ref="E653:F653" si="288">E654</f>
        <v>49500</v>
      </c>
      <c r="F653" s="418">
        <f t="shared" si="288"/>
        <v>0</v>
      </c>
      <c r="G653" s="682">
        <f t="shared" ref="G653:G661" si="289">F653/D653*100</f>
        <v>0</v>
      </c>
      <c r="H653" s="682">
        <f t="shared" si="266"/>
        <v>0</v>
      </c>
      <c r="I653" s="834"/>
    </row>
    <row r="654" spans="1:9" s="780" customFormat="1" ht="15" x14ac:dyDescent="0.25">
      <c r="A654" s="454" t="s">
        <v>71</v>
      </c>
      <c r="B654" s="455" t="s">
        <v>585</v>
      </c>
      <c r="C654" s="456">
        <f>C655+C663</f>
        <v>0</v>
      </c>
      <c r="D654" s="456">
        <f>D655+D663</f>
        <v>49500</v>
      </c>
      <c r="E654" s="456">
        <f>E655+E663</f>
        <v>49500</v>
      </c>
      <c r="F654" s="456">
        <f>F655+F663</f>
        <v>0</v>
      </c>
      <c r="G654" s="689">
        <f t="shared" si="289"/>
        <v>0</v>
      </c>
      <c r="H654" s="689">
        <f t="shared" ref="H654:H661" si="290">F654/E654*100</f>
        <v>0</v>
      </c>
      <c r="I654" s="856"/>
    </row>
    <row r="655" spans="1:9" s="780" customFormat="1" ht="15" x14ac:dyDescent="0.25">
      <c r="A655" s="467" t="s">
        <v>86</v>
      </c>
      <c r="B655" s="472" t="s">
        <v>87</v>
      </c>
      <c r="C655" s="447">
        <f>C656</f>
        <v>0</v>
      </c>
      <c r="D655" s="447">
        <f>D656</f>
        <v>19810</v>
      </c>
      <c r="E655" s="447">
        <f t="shared" ref="E655:F655" si="291">E656</f>
        <v>19810</v>
      </c>
      <c r="F655" s="447">
        <f t="shared" si="291"/>
        <v>0</v>
      </c>
      <c r="G655" s="687">
        <f t="shared" si="289"/>
        <v>0</v>
      </c>
      <c r="H655" s="687">
        <f t="shared" si="290"/>
        <v>0</v>
      </c>
      <c r="I655" s="856"/>
    </row>
    <row r="656" spans="1:9" s="780" customFormat="1" ht="15" x14ac:dyDescent="0.25">
      <c r="A656" s="419">
        <v>32</v>
      </c>
      <c r="B656" s="420" t="s">
        <v>102</v>
      </c>
      <c r="C656" s="421">
        <f>C657+C660</f>
        <v>0</v>
      </c>
      <c r="D656" s="421">
        <f>D657+D660</f>
        <v>19810</v>
      </c>
      <c r="E656" s="421">
        <f t="shared" ref="E656:F656" si="292">E657+E660</f>
        <v>19810</v>
      </c>
      <c r="F656" s="421">
        <f t="shared" si="292"/>
        <v>0</v>
      </c>
      <c r="G656" s="684">
        <f t="shared" si="289"/>
        <v>0</v>
      </c>
      <c r="H656" s="684">
        <f t="shared" si="290"/>
        <v>0</v>
      </c>
      <c r="I656" s="856"/>
    </row>
    <row r="657" spans="1:9" s="780" customFormat="1" ht="15" x14ac:dyDescent="0.25">
      <c r="A657" s="422" t="s">
        <v>112</v>
      </c>
      <c r="B657" s="443" t="s">
        <v>113</v>
      </c>
      <c r="C657" s="424">
        <f>C658</f>
        <v>0</v>
      </c>
      <c r="D657" s="424">
        <f>D658</f>
        <v>9950</v>
      </c>
      <c r="E657" s="424">
        <f t="shared" ref="E657:F658" si="293">E658</f>
        <v>9950</v>
      </c>
      <c r="F657" s="424">
        <f t="shared" si="293"/>
        <v>0</v>
      </c>
      <c r="G657" s="685"/>
      <c r="H657" s="685"/>
      <c r="I657" s="856"/>
    </row>
    <row r="658" spans="1:9" s="780" customFormat="1" ht="15" x14ac:dyDescent="0.25">
      <c r="A658" s="422" t="s">
        <v>120</v>
      </c>
      <c r="B658" s="443" t="s">
        <v>610</v>
      </c>
      <c r="C658" s="424">
        <f>C659</f>
        <v>0</v>
      </c>
      <c r="D658" s="424">
        <f>D659</f>
        <v>9950</v>
      </c>
      <c r="E658" s="424">
        <f t="shared" si="293"/>
        <v>9950</v>
      </c>
      <c r="F658" s="424">
        <f t="shared" si="293"/>
        <v>0</v>
      </c>
      <c r="G658" s="685"/>
      <c r="H658" s="685"/>
      <c r="I658" s="856"/>
    </row>
    <row r="659" spans="1:9" s="780" customFormat="1" ht="15" x14ac:dyDescent="0.25">
      <c r="A659" s="468" t="s">
        <v>524</v>
      </c>
      <c r="B659" s="475" t="s">
        <v>534</v>
      </c>
      <c r="C659" s="429">
        <v>0</v>
      </c>
      <c r="D659" s="429">
        <v>9950</v>
      </c>
      <c r="E659" s="429">
        <v>9950</v>
      </c>
      <c r="F659" s="429"/>
      <c r="G659" s="818"/>
      <c r="H659" s="818"/>
      <c r="I659" s="856"/>
    </row>
    <row r="660" spans="1:9" s="780" customFormat="1" ht="15" x14ac:dyDescent="0.25">
      <c r="A660" s="422" t="s">
        <v>126</v>
      </c>
      <c r="B660" s="423" t="s">
        <v>127</v>
      </c>
      <c r="C660" s="424">
        <f>C661</f>
        <v>0</v>
      </c>
      <c r="D660" s="424">
        <f>D661</f>
        <v>9860</v>
      </c>
      <c r="E660" s="424">
        <f>E661</f>
        <v>9860</v>
      </c>
      <c r="F660" s="424">
        <f>F661</f>
        <v>0</v>
      </c>
      <c r="G660" s="685">
        <f t="shared" si="289"/>
        <v>0</v>
      </c>
      <c r="H660" s="685">
        <f t="shared" si="290"/>
        <v>0</v>
      </c>
      <c r="I660" s="856"/>
    </row>
    <row r="661" spans="1:9" s="780" customFormat="1" ht="15" x14ac:dyDescent="0.25">
      <c r="A661" s="463" t="s">
        <v>130</v>
      </c>
      <c r="B661" s="479" t="s">
        <v>131</v>
      </c>
      <c r="C661" s="424">
        <f>SUM(C662)</f>
        <v>0</v>
      </c>
      <c r="D661" s="424">
        <f>SUM(D662)</f>
        <v>9860</v>
      </c>
      <c r="E661" s="424">
        <f>SUM(E662)</f>
        <v>9860</v>
      </c>
      <c r="F661" s="424">
        <f>SUM(F662)</f>
        <v>0</v>
      </c>
      <c r="G661" s="685">
        <f t="shared" si="289"/>
        <v>0</v>
      </c>
      <c r="H661" s="685">
        <f t="shared" si="290"/>
        <v>0</v>
      </c>
      <c r="I661" s="856"/>
    </row>
    <row r="662" spans="1:9" s="780" customFormat="1" ht="15" x14ac:dyDescent="0.25">
      <c r="A662" s="425" t="s">
        <v>512</v>
      </c>
      <c r="B662" s="430" t="s">
        <v>414</v>
      </c>
      <c r="C662" s="429">
        <v>0</v>
      </c>
      <c r="D662" s="429">
        <v>9860</v>
      </c>
      <c r="E662" s="429">
        <v>9860</v>
      </c>
      <c r="F662" s="429">
        <v>0</v>
      </c>
      <c r="G662" s="818"/>
      <c r="H662" s="685">
        <f>F662/E662*100</f>
        <v>0</v>
      </c>
      <c r="I662" s="856"/>
    </row>
    <row r="663" spans="1:9" s="781" customFormat="1" ht="15" x14ac:dyDescent="0.25">
      <c r="A663" s="467">
        <v>4</v>
      </c>
      <c r="B663" s="472" t="s">
        <v>174</v>
      </c>
      <c r="C663" s="447">
        <f t="shared" ref="C663:D666" si="294">C664</f>
        <v>0</v>
      </c>
      <c r="D663" s="447">
        <f t="shared" si="294"/>
        <v>29690</v>
      </c>
      <c r="E663" s="447">
        <f t="shared" ref="E663:F666" si="295">E664</f>
        <v>29690</v>
      </c>
      <c r="F663" s="447">
        <f t="shared" si="295"/>
        <v>0</v>
      </c>
      <c r="G663" s="687">
        <f t="shared" si="264"/>
        <v>0</v>
      </c>
      <c r="H663" s="687">
        <f t="shared" si="266"/>
        <v>0</v>
      </c>
      <c r="I663" s="848"/>
    </row>
    <row r="664" spans="1:9" s="782" customFormat="1" ht="15" x14ac:dyDescent="0.25">
      <c r="A664" s="419" t="s">
        <v>196</v>
      </c>
      <c r="B664" s="420" t="s">
        <v>197</v>
      </c>
      <c r="C664" s="421">
        <f t="shared" si="294"/>
        <v>0</v>
      </c>
      <c r="D664" s="421">
        <f t="shared" si="294"/>
        <v>29690</v>
      </c>
      <c r="E664" s="421">
        <f t="shared" si="295"/>
        <v>29690</v>
      </c>
      <c r="F664" s="421">
        <f t="shared" si="295"/>
        <v>0</v>
      </c>
      <c r="G664" s="684">
        <f t="shared" si="264"/>
        <v>0</v>
      </c>
      <c r="H664" s="684">
        <f t="shared" si="266"/>
        <v>0</v>
      </c>
      <c r="I664" s="849"/>
    </row>
    <row r="665" spans="1:9" s="782" customFormat="1" ht="15" x14ac:dyDescent="0.25">
      <c r="A665" s="784" t="s">
        <v>198</v>
      </c>
      <c r="B665" s="785" t="s">
        <v>199</v>
      </c>
      <c r="C665" s="424">
        <f t="shared" si="294"/>
        <v>0</v>
      </c>
      <c r="D665" s="424">
        <f t="shared" si="294"/>
        <v>29690</v>
      </c>
      <c r="E665" s="424">
        <f t="shared" si="295"/>
        <v>29690</v>
      </c>
      <c r="F665" s="424">
        <f t="shared" si="295"/>
        <v>0</v>
      </c>
      <c r="G665" s="685">
        <f t="shared" si="264"/>
        <v>0</v>
      </c>
      <c r="H665" s="685">
        <f t="shared" si="266"/>
        <v>0</v>
      </c>
      <c r="I665" s="849"/>
    </row>
    <row r="666" spans="1:9" s="781" customFormat="1" ht="15" x14ac:dyDescent="0.25">
      <c r="A666" s="463" t="s">
        <v>200</v>
      </c>
      <c r="B666" s="532" t="s">
        <v>199</v>
      </c>
      <c r="C666" s="524">
        <f t="shared" si="294"/>
        <v>0</v>
      </c>
      <c r="D666" s="524">
        <f t="shared" si="294"/>
        <v>29690</v>
      </c>
      <c r="E666" s="524">
        <f t="shared" si="295"/>
        <v>29690</v>
      </c>
      <c r="F666" s="524">
        <f t="shared" si="295"/>
        <v>0</v>
      </c>
      <c r="G666" s="524">
        <f t="shared" ref="G666" si="296">G667</f>
        <v>0</v>
      </c>
      <c r="H666" s="685">
        <f t="shared" si="266"/>
        <v>0</v>
      </c>
      <c r="I666" s="848"/>
    </row>
    <row r="667" spans="1:9" s="781" customFormat="1" ht="15" x14ac:dyDescent="0.25">
      <c r="A667" s="468" t="s">
        <v>496</v>
      </c>
      <c r="B667" s="783" t="s">
        <v>199</v>
      </c>
      <c r="C667" s="523">
        <v>0</v>
      </c>
      <c r="D667" s="523">
        <v>29690</v>
      </c>
      <c r="E667" s="523">
        <v>29690</v>
      </c>
      <c r="F667" s="523">
        <v>0</v>
      </c>
      <c r="G667" s="685"/>
      <c r="H667" s="685">
        <f t="shared" si="266"/>
        <v>0</v>
      </c>
      <c r="I667" s="848"/>
    </row>
    <row r="668" spans="1:9" x14ac:dyDescent="0.25">
      <c r="A668" s="480">
        <v>3</v>
      </c>
      <c r="B668" s="480" t="s">
        <v>87</v>
      </c>
      <c r="C668" s="481">
        <f>C8+C198+C298+C361+C377+C403+C431+C476+C495+C514+C533+C562+C579+C655+C611</f>
        <v>2567146.56</v>
      </c>
      <c r="D668" s="481">
        <f>D8+D198+D298+D361+D377+D403+D431+D476+D495+D514+D533+D562+D579+D655+D611</f>
        <v>4299508.6899999995</v>
      </c>
      <c r="E668" s="481">
        <f>E8+E198+E298+E361+E377+E403+E431+E476+E495+E514+E533+E562+E579+E655+E611</f>
        <v>4244329.6000000006</v>
      </c>
      <c r="F668" s="481">
        <f>F8+F198+F298+F361+F377+F397+F403+F431+F476+F495+F514+F533+F562+F579+F655+F611</f>
        <v>2396625.08</v>
      </c>
      <c r="G668" s="681">
        <f t="shared" ref="G668:G670" si="297">F668/D668*100</f>
        <v>55.741835935212414</v>
      </c>
      <c r="H668" s="681">
        <f t="shared" ref="H668:H669" si="298">F668/E668*100</f>
        <v>56.466516643759235</v>
      </c>
      <c r="I668" s="831">
        <f>F668-2396625.08</f>
        <v>0</v>
      </c>
    </row>
    <row r="669" spans="1:9" x14ac:dyDescent="0.25">
      <c r="A669" s="480">
        <v>4</v>
      </c>
      <c r="B669" s="480" t="s">
        <v>174</v>
      </c>
      <c r="C669" s="481">
        <f>C162+C279+C345+C370+C387+C458+C600+C663</f>
        <v>83303.889999999985</v>
      </c>
      <c r="D669" s="481">
        <f>D162+D279+D345+D370+D387+D458+D600+D663</f>
        <v>426425.88</v>
      </c>
      <c r="E669" s="481">
        <f>E162+E279+E345+E370+E387+E458+E600+E663</f>
        <v>369702.17000000004</v>
      </c>
      <c r="F669" s="481">
        <f>F162+F279+F345+F370+F387+F458+F600+F663</f>
        <v>169919.99</v>
      </c>
      <c r="G669" s="681">
        <f t="shared" si="297"/>
        <v>39.847485335552335</v>
      </c>
      <c r="H669" s="681">
        <f t="shared" si="298"/>
        <v>45.961317998214604</v>
      </c>
    </row>
    <row r="670" spans="1:9" x14ac:dyDescent="0.25">
      <c r="A670" s="480"/>
      <c r="B670" s="480" t="s">
        <v>366</v>
      </c>
      <c r="C670" s="481">
        <f>SUM(C668:C669)</f>
        <v>2650450.4500000002</v>
      </c>
      <c r="D670" s="481">
        <f>SUM(D668:D669)</f>
        <v>4725934.5699999994</v>
      </c>
      <c r="E670" s="481">
        <f>SUM(E668:E669)</f>
        <v>4614031.7700000005</v>
      </c>
      <c r="F670" s="481">
        <f>SUM(F668:F669)</f>
        <v>2566545.0700000003</v>
      </c>
      <c r="G670" s="681">
        <f t="shared" si="297"/>
        <v>54.30767252454789</v>
      </c>
      <c r="H670" s="681">
        <f>F670/E670*100</f>
        <v>55.624781057803595</v>
      </c>
    </row>
    <row r="678" spans="1:9" s="483" customFormat="1" x14ac:dyDescent="0.25">
      <c r="A678" s="458"/>
      <c r="B678" s="458"/>
      <c r="C678" s="458"/>
      <c r="D678" s="458"/>
      <c r="E678" s="458"/>
      <c r="G678" s="683"/>
      <c r="H678" s="683"/>
      <c r="I678" s="857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scale="6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H46"/>
  <sheetViews>
    <sheetView workbookViewId="0">
      <selection activeCell="I35" sqref="I35"/>
    </sheetView>
  </sheetViews>
  <sheetFormatPr defaultRowHeight="15" x14ac:dyDescent="0.25"/>
  <cols>
    <col min="1" max="1" width="9.140625" style="696"/>
    <col min="2" max="2" width="5.28515625" style="696" bestFit="1" customWidth="1"/>
    <col min="3" max="3" width="37.28515625" style="696" bestFit="1" customWidth="1"/>
    <col min="4" max="4" width="17.7109375" style="696" hidden="1" customWidth="1"/>
    <col min="5" max="5" width="17.7109375" style="696" customWidth="1"/>
    <col min="6" max="6" width="17.7109375" style="696" bestFit="1" customWidth="1"/>
    <col min="7" max="7" width="12.85546875" style="696" hidden="1" customWidth="1"/>
    <col min="8" max="9" width="9.140625" style="696"/>
    <col min="10" max="10" width="42.7109375" style="696" customWidth="1"/>
    <col min="11" max="11" width="14.85546875" style="696" customWidth="1"/>
    <col min="12" max="12" width="15.42578125" style="696" customWidth="1"/>
    <col min="13" max="13" width="9.42578125" style="696" bestFit="1" customWidth="1"/>
    <col min="14" max="16384" width="9.140625" style="696"/>
  </cols>
  <sheetData>
    <row r="2" spans="2:8" ht="18.75" x14ac:dyDescent="0.3">
      <c r="C2" s="725" t="s">
        <v>582</v>
      </c>
      <c r="D2" s="725"/>
      <c r="E2" s="725"/>
      <c r="F2" s="725"/>
      <c r="G2" s="697"/>
    </row>
    <row r="4" spans="2:8" ht="15.75" customHeight="1" x14ac:dyDescent="0.25">
      <c r="B4" s="705" t="s">
        <v>583</v>
      </c>
      <c r="C4" s="706" t="s">
        <v>588</v>
      </c>
      <c r="D4" s="698" t="s">
        <v>627</v>
      </c>
      <c r="E4" s="862" t="s">
        <v>628</v>
      </c>
      <c r="F4" s="699" t="s">
        <v>589</v>
      </c>
      <c r="G4" s="707" t="s">
        <v>547</v>
      </c>
      <c r="H4" s="707" t="s">
        <v>547</v>
      </c>
    </row>
    <row r="5" spans="2:8" ht="15.75" x14ac:dyDescent="0.25">
      <c r="B5" s="705"/>
      <c r="C5" s="708" t="s">
        <v>572</v>
      </c>
      <c r="D5" s="709">
        <f t="shared" ref="D5:F5" si="0">D6+D8+D10+D14+D16+D18</f>
        <v>4702255.63</v>
      </c>
      <c r="E5" s="709">
        <f t="shared" si="0"/>
        <v>4988957.9200000009</v>
      </c>
      <c r="F5" s="709">
        <f t="shared" si="0"/>
        <v>2608890.3099999996</v>
      </c>
      <c r="G5" s="710">
        <f>F5/D5*100</f>
        <v>55.481677630528978</v>
      </c>
      <c r="H5" s="710">
        <f>F5/E5*100</f>
        <v>52.29329154173341</v>
      </c>
    </row>
    <row r="6" spans="2:8" ht="15.75" x14ac:dyDescent="0.25">
      <c r="B6" s="705">
        <v>1</v>
      </c>
      <c r="C6" s="711" t="s">
        <v>15</v>
      </c>
      <c r="D6" s="712">
        <f>D7</f>
        <v>369361.73000000004</v>
      </c>
      <c r="E6" s="712">
        <f t="shared" ref="E6:F6" si="1">E7</f>
        <v>311264.02</v>
      </c>
      <c r="F6" s="712">
        <f t="shared" si="1"/>
        <v>116122.25</v>
      </c>
      <c r="G6" s="710">
        <f>F6/D6*100</f>
        <v>31.438625219781159</v>
      </c>
      <c r="H6" s="710">
        <f t="shared" ref="H6:H20" si="2">F6/E6*100</f>
        <v>37.306672965285223</v>
      </c>
    </row>
    <row r="7" spans="2:8" ht="15.75" hidden="1" x14ac:dyDescent="0.25">
      <c r="B7" s="705"/>
      <c r="C7" s="711" t="s">
        <v>573</v>
      </c>
      <c r="D7" s="712">
        <f>'Prihodi po ek klas i izvorima'!F15</f>
        <v>369361.73000000004</v>
      </c>
      <c r="E7" s="712">
        <f>'Prihodi po ek klas i izvorima'!G15</f>
        <v>311264.02</v>
      </c>
      <c r="F7" s="712">
        <f>'Prihodi po ek klas i izvorima'!H15</f>
        <v>116122.25</v>
      </c>
      <c r="G7" s="710">
        <f t="shared" ref="G7:G19" si="3">F7/D7*100</f>
        <v>31.438625219781159</v>
      </c>
      <c r="H7" s="710">
        <f t="shared" si="2"/>
        <v>37.306672965285223</v>
      </c>
    </row>
    <row r="8" spans="2:8" ht="15.75" x14ac:dyDescent="0.25">
      <c r="B8" s="705">
        <v>2</v>
      </c>
      <c r="C8" s="711" t="s">
        <v>586</v>
      </c>
      <c r="D8" s="712">
        <f>D9</f>
        <v>199283.29</v>
      </c>
      <c r="E8" s="712">
        <f t="shared" ref="E8:F8" si="4">E9</f>
        <v>199283.29</v>
      </c>
      <c r="F8" s="712">
        <f t="shared" si="4"/>
        <v>70071.210000000006</v>
      </c>
      <c r="G8" s="710">
        <f t="shared" si="3"/>
        <v>35.161608381716306</v>
      </c>
      <c r="H8" s="710">
        <f t="shared" si="2"/>
        <v>35.161608381716306</v>
      </c>
    </row>
    <row r="9" spans="2:8" ht="15.75" hidden="1" x14ac:dyDescent="0.25">
      <c r="B9" s="705"/>
      <c r="C9" s="711" t="s">
        <v>574</v>
      </c>
      <c r="D9" s="712">
        <f>'Prihodi po ek klas i izvorima'!F75</f>
        <v>199283.29</v>
      </c>
      <c r="E9" s="712">
        <f>'Prihodi po ek klas i izvorima'!G75</f>
        <v>199283.29</v>
      </c>
      <c r="F9" s="712">
        <f>'Prihodi po ek klas i izvorima'!H75</f>
        <v>70071.210000000006</v>
      </c>
      <c r="G9" s="710">
        <f t="shared" si="3"/>
        <v>35.161608381716306</v>
      </c>
      <c r="H9" s="710">
        <f t="shared" si="2"/>
        <v>35.161608381716306</v>
      </c>
    </row>
    <row r="10" spans="2:8" ht="15.75" x14ac:dyDescent="0.25">
      <c r="B10" s="705">
        <v>3</v>
      </c>
      <c r="C10" s="713" t="s">
        <v>587</v>
      </c>
      <c r="D10" s="712">
        <f>SUM(D11:D13)</f>
        <v>3949596.66</v>
      </c>
      <c r="E10" s="712">
        <f>SUM(E11:E13)</f>
        <v>3949596.66</v>
      </c>
      <c r="F10" s="712">
        <f>SUM(F11:F13)</f>
        <v>2126781.34</v>
      </c>
      <c r="G10" s="710">
        <f t="shared" si="3"/>
        <v>53.848064070420797</v>
      </c>
      <c r="H10" s="710">
        <f t="shared" si="2"/>
        <v>53.848064070420797</v>
      </c>
    </row>
    <row r="11" spans="2:8" ht="15.75" hidden="1" x14ac:dyDescent="0.25">
      <c r="B11" s="705"/>
      <c r="C11" s="714" t="s">
        <v>575</v>
      </c>
      <c r="D11" s="712">
        <f>'Prihodi po ek klas i izvorima'!F46</f>
        <v>3899096.66</v>
      </c>
      <c r="E11" s="712">
        <f>'Prihodi po ek klas i izvorima'!G46</f>
        <v>3899096.66</v>
      </c>
      <c r="F11" s="712">
        <f>'Prihodi po ek klas i izvorima'!H46</f>
        <v>2103137.27</v>
      </c>
      <c r="G11" s="710">
        <f t="shared" si="3"/>
        <v>53.939090343043716</v>
      </c>
      <c r="H11" s="710">
        <f t="shared" si="2"/>
        <v>53.939090343043716</v>
      </c>
    </row>
    <row r="12" spans="2:8" ht="47.25" hidden="1" x14ac:dyDescent="0.25">
      <c r="B12" s="705"/>
      <c r="C12" s="715" t="s">
        <v>576</v>
      </c>
      <c r="D12" s="712">
        <f>'Prihodi po ek klas i izvorima'!F40</f>
        <v>47500</v>
      </c>
      <c r="E12" s="712">
        <f>'Prihodi po ek klas i izvorima'!G40</f>
        <v>47500</v>
      </c>
      <c r="F12" s="712">
        <f>'Prihodi po ek klas i izvorima'!H40</f>
        <v>23644.07</v>
      </c>
      <c r="G12" s="710">
        <f t="shared" si="3"/>
        <v>49.77698947368421</v>
      </c>
      <c r="H12" s="710">
        <f t="shared" si="2"/>
        <v>49.77698947368421</v>
      </c>
    </row>
    <row r="13" spans="2:8" ht="15.75" hidden="1" x14ac:dyDescent="0.25">
      <c r="B13" s="705"/>
      <c r="C13" s="714" t="s">
        <v>577</v>
      </c>
      <c r="D13" s="712">
        <f>'Prihodi po ek klas i izvorima'!F53</f>
        <v>3000</v>
      </c>
      <c r="E13" s="712">
        <f>'Prihodi po ek klas i izvorima'!G53</f>
        <v>3000</v>
      </c>
      <c r="F13" s="712">
        <f>'Prihodi po ek klas i izvorima'!H53</f>
        <v>0</v>
      </c>
      <c r="G13" s="710">
        <f t="shared" si="3"/>
        <v>0</v>
      </c>
      <c r="H13" s="710">
        <f t="shared" si="2"/>
        <v>0</v>
      </c>
    </row>
    <row r="14" spans="2:8" ht="15.75" x14ac:dyDescent="0.25">
      <c r="B14" s="705">
        <v>4</v>
      </c>
      <c r="C14" s="714" t="s">
        <v>41</v>
      </c>
      <c r="D14" s="712">
        <f>D15</f>
        <v>128013.95</v>
      </c>
      <c r="E14" s="712">
        <f t="shared" ref="E14:F14" si="5">E15</f>
        <v>472013.94999999995</v>
      </c>
      <c r="F14" s="712">
        <f t="shared" si="5"/>
        <v>293965.23</v>
      </c>
      <c r="G14" s="710">
        <f t="shared" si="3"/>
        <v>229.63530927684053</v>
      </c>
      <c r="H14" s="710">
        <f t="shared" si="2"/>
        <v>62.278928408789611</v>
      </c>
    </row>
    <row r="15" spans="2:8" ht="15.75" hidden="1" x14ac:dyDescent="0.25">
      <c r="B15" s="705"/>
      <c r="C15" s="714" t="s">
        <v>578</v>
      </c>
      <c r="D15" s="712">
        <f>'Prihodi po ek klas i izvorima'!F36</f>
        <v>128013.95</v>
      </c>
      <c r="E15" s="712">
        <f>'Prihodi po ek klas i izvorima'!G36</f>
        <v>472013.94999999995</v>
      </c>
      <c r="F15" s="712">
        <f>'Prihodi po ek klas i izvorima'!H36</f>
        <v>293965.23</v>
      </c>
      <c r="G15" s="710">
        <f t="shared" si="3"/>
        <v>229.63530927684053</v>
      </c>
      <c r="H15" s="710">
        <f t="shared" si="2"/>
        <v>62.278928408789611</v>
      </c>
    </row>
    <row r="16" spans="2:8" ht="15.75" x14ac:dyDescent="0.25">
      <c r="B16" s="705">
        <v>5</v>
      </c>
      <c r="C16" s="714" t="s">
        <v>585</v>
      </c>
      <c r="D16" s="712">
        <f>D17</f>
        <v>50500</v>
      </c>
      <c r="E16" s="712">
        <f>E17</f>
        <v>50500</v>
      </c>
      <c r="F16" s="712">
        <f>F17</f>
        <v>0</v>
      </c>
      <c r="G16" s="710">
        <f t="shared" si="3"/>
        <v>0</v>
      </c>
      <c r="H16" s="710">
        <f t="shared" si="2"/>
        <v>0</v>
      </c>
    </row>
    <row r="17" spans="2:8" ht="15.75" hidden="1" x14ac:dyDescent="0.25">
      <c r="B17" s="705"/>
      <c r="C17" s="714" t="s">
        <v>579</v>
      </c>
      <c r="D17" s="712">
        <f>'Prihodi po ek klas i izvorima'!F81</f>
        <v>50500</v>
      </c>
      <c r="E17" s="712">
        <f>'Prihodi po ek klas i izvorima'!G81</f>
        <v>50500</v>
      </c>
      <c r="F17" s="712">
        <f>'Prihodi po ek klas i izvorima'!H81</f>
        <v>0</v>
      </c>
      <c r="G17" s="710">
        <f t="shared" si="3"/>
        <v>0</v>
      </c>
      <c r="H17" s="710">
        <f t="shared" si="2"/>
        <v>0</v>
      </c>
    </row>
    <row r="18" spans="2:8" ht="31.5" x14ac:dyDescent="0.25">
      <c r="B18" s="705">
        <v>6</v>
      </c>
      <c r="C18" s="715" t="s">
        <v>584</v>
      </c>
      <c r="D18" s="712">
        <f>D19</f>
        <v>5500</v>
      </c>
      <c r="E18" s="712">
        <f t="shared" ref="E18:F18" si="6">E19</f>
        <v>6300</v>
      </c>
      <c r="F18" s="712">
        <f t="shared" si="6"/>
        <v>1950.28</v>
      </c>
      <c r="G18" s="710">
        <f t="shared" si="3"/>
        <v>35.459636363636363</v>
      </c>
      <c r="H18" s="710">
        <f t="shared" si="2"/>
        <v>30.956825396825394</v>
      </c>
    </row>
    <row r="19" spans="2:8" ht="31.5" hidden="1" x14ac:dyDescent="0.25">
      <c r="B19" s="705"/>
      <c r="C19" s="716" t="s">
        <v>580</v>
      </c>
      <c r="D19" s="717">
        <f>'Prihodi po ek klas i izvorima'!F86</f>
        <v>5500</v>
      </c>
      <c r="E19" s="717">
        <f>'Prihodi po ek klas i izvorima'!G86+'Prihodi po ek klas i izvorima'!G94</f>
        <v>6300</v>
      </c>
      <c r="F19" s="717">
        <f>'Prihodi po ek klas i izvorima'!H86+'Prihodi po ek klas i izvorima'!H94</f>
        <v>1950.28</v>
      </c>
      <c r="G19" s="710">
        <f t="shared" si="3"/>
        <v>35.459636363636363</v>
      </c>
      <c r="H19" s="710">
        <f t="shared" si="2"/>
        <v>30.956825396825394</v>
      </c>
    </row>
    <row r="20" spans="2:8" ht="15.75" x14ac:dyDescent="0.25">
      <c r="B20" s="705"/>
      <c r="C20" s="708" t="s">
        <v>572</v>
      </c>
      <c r="D20" s="709">
        <f>D6+D8+D10+D14+D16+D18</f>
        <v>4702255.63</v>
      </c>
      <c r="E20" s="709">
        <f>E6+E8+E10+E14+E16+E18</f>
        <v>4988957.9200000009</v>
      </c>
      <c r="F20" s="709">
        <f>F6+F8+F10+F14+F16+F18</f>
        <v>2608890.3099999996</v>
      </c>
      <c r="G20" s="710">
        <f>F20/D20*100</f>
        <v>55.481677630528978</v>
      </c>
      <c r="H20" s="710">
        <f t="shared" si="2"/>
        <v>52.29329154173341</v>
      </c>
    </row>
    <row r="21" spans="2:8" x14ac:dyDescent="0.25">
      <c r="B21" s="700"/>
      <c r="C21" s="703"/>
      <c r="D21" s="704"/>
      <c r="E21" s="704"/>
      <c r="F21" s="704"/>
      <c r="G21" s="701"/>
    </row>
    <row r="22" spans="2:8" x14ac:dyDescent="0.25">
      <c r="B22" s="700"/>
      <c r="C22" s="702"/>
      <c r="D22" s="702"/>
      <c r="E22" s="702"/>
      <c r="F22" s="702"/>
      <c r="G22" s="702"/>
    </row>
    <row r="23" spans="2:8" ht="31.5" x14ac:dyDescent="0.25">
      <c r="B23" s="705" t="s">
        <v>583</v>
      </c>
      <c r="C23" s="706" t="s">
        <v>588</v>
      </c>
      <c r="D23" s="698" t="s">
        <v>627</v>
      </c>
      <c r="E23" s="862" t="s">
        <v>628</v>
      </c>
      <c r="F23" s="699" t="s">
        <v>589</v>
      </c>
      <c r="G23" s="707" t="s">
        <v>547</v>
      </c>
      <c r="H23" s="707" t="s">
        <v>547</v>
      </c>
    </row>
    <row r="24" spans="2:8" ht="15.75" x14ac:dyDescent="0.25">
      <c r="B24" s="705"/>
      <c r="C24" s="708" t="s">
        <v>369</v>
      </c>
      <c r="D24" s="709">
        <f>D25+D27+D29+D31+D33+D35</f>
        <v>4725934.57</v>
      </c>
      <c r="E24" s="709">
        <f>E25+E27+E29+E31+E33+E35</f>
        <v>4614031.7700000005</v>
      </c>
      <c r="F24" s="709">
        <f>F25+F27+F29+F31+F33+F35</f>
        <v>2486545.0699999998</v>
      </c>
      <c r="G24" s="710">
        <f>F24/D24*100</f>
        <v>52.614885652130383</v>
      </c>
      <c r="H24" s="710">
        <f>F24/E24*100</f>
        <v>53.890939506903301</v>
      </c>
    </row>
    <row r="25" spans="2:8" ht="15.75" x14ac:dyDescent="0.25">
      <c r="B25" s="705">
        <v>1</v>
      </c>
      <c r="C25" s="711" t="s">
        <v>15</v>
      </c>
      <c r="D25" s="718">
        <f>D26</f>
        <v>369361.73</v>
      </c>
      <c r="E25" s="718">
        <f>E26</f>
        <v>311264.02</v>
      </c>
      <c r="F25" s="718">
        <f t="shared" ref="F25" si="7">F26</f>
        <v>36122.25</v>
      </c>
      <c r="G25" s="710">
        <f t="shared" ref="G25:G37" si="8">F25/D25*100</f>
        <v>9.7796406790708943</v>
      </c>
      <c r="H25" s="710">
        <f t="shared" ref="H25:H37" si="9">F25/E25*100</f>
        <v>11.605019430128802</v>
      </c>
    </row>
    <row r="26" spans="2:8" ht="15.75" x14ac:dyDescent="0.25">
      <c r="B26" s="705"/>
      <c r="C26" s="711" t="s">
        <v>573</v>
      </c>
      <c r="D26" s="718">
        <f>'Rekapitulacija Posebni dio'!D430+'Rekapitulacija Posebni dio'!D475+'Rekapitulacija Posebni dio'!D494+'Rekapitulacija Posebni dio'!D513</f>
        <v>369361.73</v>
      </c>
      <c r="E26" s="718">
        <f>'Rekapitulacija Posebni dio'!E430+'Rekapitulacija Posebni dio'!E475+'Rekapitulacija Posebni dio'!E494+'Rekapitulacija Posebni dio'!E513</f>
        <v>311264.02</v>
      </c>
      <c r="F26" s="718">
        <f>'Rekapitulacija Posebni dio'!F430+'Rekapitulacija Posebni dio'!F475+'Rekapitulacija Posebni dio'!F494+'Rekapitulacija Posebni dio'!F513</f>
        <v>36122.25</v>
      </c>
      <c r="G26" s="710">
        <f t="shared" si="8"/>
        <v>9.7796406790708943</v>
      </c>
      <c r="H26" s="710">
        <f t="shared" si="9"/>
        <v>11.605019430128802</v>
      </c>
    </row>
    <row r="27" spans="2:8" ht="15.75" x14ac:dyDescent="0.25">
      <c r="B27" s="705">
        <v>2</v>
      </c>
      <c r="C27" s="711" t="s">
        <v>586</v>
      </c>
      <c r="D27" s="718">
        <f>D28</f>
        <v>163116.33000000002</v>
      </c>
      <c r="E27" s="718">
        <f>E28</f>
        <v>163116.33000000002</v>
      </c>
      <c r="F27" s="718">
        <f t="shared" ref="F27" si="10">F28</f>
        <v>70071.205000000016</v>
      </c>
      <c r="G27" s="710">
        <f t="shared" si="8"/>
        <v>42.957811152323011</v>
      </c>
      <c r="H27" s="710">
        <f t="shared" si="9"/>
        <v>42.957811152323011</v>
      </c>
    </row>
    <row r="28" spans="2:8" ht="15.75" x14ac:dyDescent="0.25">
      <c r="B28" s="705"/>
      <c r="C28" s="711" t="s">
        <v>574</v>
      </c>
      <c r="D28" s="718">
        <f>'Rekapitulacija Posebni dio'!D197+'Rekapitulacija Posebni dio'!D578</f>
        <v>163116.33000000002</v>
      </c>
      <c r="E28" s="718">
        <f>'Rekapitulacija Posebni dio'!E197+'Rekapitulacija Posebni dio'!E578</f>
        <v>163116.33000000002</v>
      </c>
      <c r="F28" s="718">
        <f>'Rekapitulacija Posebni dio'!F197+'Rekapitulacija Posebni dio'!F578</f>
        <v>70071.205000000016</v>
      </c>
      <c r="G28" s="710">
        <f t="shared" si="8"/>
        <v>42.957811152323011</v>
      </c>
      <c r="H28" s="710">
        <f t="shared" si="9"/>
        <v>42.957811152323011</v>
      </c>
    </row>
    <row r="29" spans="2:8" ht="15.75" x14ac:dyDescent="0.25">
      <c r="B29" s="705">
        <v>3</v>
      </c>
      <c r="C29" s="713" t="s">
        <v>587</v>
      </c>
      <c r="D29" s="718">
        <f>D30</f>
        <v>4009442.56</v>
      </c>
      <c r="E29" s="718">
        <f>E30</f>
        <v>3895637.47</v>
      </c>
      <c r="F29" s="718">
        <f t="shared" ref="F29" si="11">F30</f>
        <v>2351906.1749999998</v>
      </c>
      <c r="G29" s="710">
        <f t="shared" si="8"/>
        <v>58.659181165573294</v>
      </c>
      <c r="H29" s="710">
        <f t="shared" si="9"/>
        <v>60.37281941946204</v>
      </c>
    </row>
    <row r="30" spans="2:8" ht="15.75" x14ac:dyDescent="0.25">
      <c r="B30" s="705"/>
      <c r="C30" s="714" t="s">
        <v>581</v>
      </c>
      <c r="D30" s="718">
        <f>'Rekapitulacija Posebni dio'!D7</f>
        <v>4009442.56</v>
      </c>
      <c r="E30" s="718">
        <f>'Rekapitulacija Posebni dio'!E7</f>
        <v>3895637.47</v>
      </c>
      <c r="F30" s="718">
        <f>'Rekapitulacija Posebni dio'!F7</f>
        <v>2351906.1749999998</v>
      </c>
      <c r="G30" s="710">
        <f t="shared" si="8"/>
        <v>58.659181165573294</v>
      </c>
      <c r="H30" s="710">
        <f t="shared" si="9"/>
        <v>60.37281941946204</v>
      </c>
    </row>
    <row r="31" spans="2:8" ht="15.75" x14ac:dyDescent="0.25">
      <c r="B31" s="705">
        <v>4</v>
      </c>
      <c r="C31" s="714" t="s">
        <v>41</v>
      </c>
      <c r="D31" s="718">
        <f>D32</f>
        <v>128013.95</v>
      </c>
      <c r="E31" s="718">
        <f>E32</f>
        <v>188013.95</v>
      </c>
      <c r="F31" s="718">
        <f t="shared" ref="F31" si="12">F32</f>
        <v>26495.16</v>
      </c>
      <c r="G31" s="710">
        <f t="shared" si="8"/>
        <v>20.697088090790107</v>
      </c>
      <c r="H31" s="710">
        <f t="shared" si="9"/>
        <v>14.092124547141315</v>
      </c>
    </row>
    <row r="32" spans="2:8" ht="15.75" x14ac:dyDescent="0.25">
      <c r="B32" s="705"/>
      <c r="C32" s="714" t="s">
        <v>578</v>
      </c>
      <c r="D32" s="718">
        <f>'Rekapitulacija Posebni dio'!D297+'Rekapitulacija Posebni dio'!D532+'Rekapitulacija Posebni dio'!D561+'Rekapitulacija Posebni dio'!D610</f>
        <v>128013.95</v>
      </c>
      <c r="E32" s="718">
        <f>'Rekapitulacija Posebni dio'!E297+'Rekapitulacija Posebni dio'!E532+'Rekapitulacija Posebni dio'!E561+'Rekapitulacija Posebni dio'!E610</f>
        <v>188013.95</v>
      </c>
      <c r="F32" s="718">
        <f>'Rekapitulacija Posebni dio'!F297+'Rekapitulacija Posebni dio'!F532+'Rekapitulacija Posebni dio'!F561+'Rekapitulacija Posebni dio'!F610+'Rekapitulacija Posebni dio'!F654</f>
        <v>26495.16</v>
      </c>
      <c r="G32" s="710">
        <f t="shared" si="8"/>
        <v>20.697088090790107</v>
      </c>
      <c r="H32" s="710">
        <f t="shared" si="9"/>
        <v>14.092124547141315</v>
      </c>
    </row>
    <row r="33" spans="2:8" ht="15.75" x14ac:dyDescent="0.25">
      <c r="B33" s="705">
        <v>5</v>
      </c>
      <c r="C33" s="714" t="s">
        <v>585</v>
      </c>
      <c r="D33" s="718">
        <f>D34</f>
        <v>50500</v>
      </c>
      <c r="E33" s="718">
        <f>E34</f>
        <v>50500</v>
      </c>
      <c r="F33" s="718">
        <f t="shared" ref="F33" si="13">F34</f>
        <v>0</v>
      </c>
      <c r="G33" s="710">
        <f t="shared" si="8"/>
        <v>0</v>
      </c>
      <c r="H33" s="710">
        <f t="shared" si="9"/>
        <v>0</v>
      </c>
    </row>
    <row r="34" spans="2:8" ht="15.75" x14ac:dyDescent="0.25">
      <c r="B34" s="705"/>
      <c r="C34" s="714" t="s">
        <v>579</v>
      </c>
      <c r="D34" s="718">
        <f>'Rekapitulacija Posebni dio'!D360+'Rekapitulacija Posebni dio'!D654</f>
        <v>50500</v>
      </c>
      <c r="E34" s="718">
        <f>'Rekapitulacija Posebni dio'!E360+'Rekapitulacija Posebni dio'!E654</f>
        <v>50500</v>
      </c>
      <c r="F34" s="718">
        <f>'Rekapitulacija Posebni dio'!F360</f>
        <v>0</v>
      </c>
      <c r="G34" s="710">
        <f t="shared" si="8"/>
        <v>0</v>
      </c>
      <c r="H34" s="710">
        <f t="shared" si="9"/>
        <v>0</v>
      </c>
    </row>
    <row r="35" spans="2:8" ht="31.5" x14ac:dyDescent="0.25">
      <c r="B35" s="705">
        <v>6</v>
      </c>
      <c r="C35" s="715" t="s">
        <v>584</v>
      </c>
      <c r="D35" s="719">
        <f>D36</f>
        <v>5500</v>
      </c>
      <c r="E35" s="719">
        <f>E36</f>
        <v>5500</v>
      </c>
      <c r="F35" s="719">
        <f t="shared" ref="F35" si="14">F36</f>
        <v>1950.28</v>
      </c>
      <c r="G35" s="710">
        <f t="shared" si="8"/>
        <v>35.459636363636363</v>
      </c>
      <c r="H35" s="710">
        <f t="shared" si="9"/>
        <v>35.459636363636363</v>
      </c>
    </row>
    <row r="36" spans="2:8" ht="31.5" x14ac:dyDescent="0.25">
      <c r="B36" s="705"/>
      <c r="C36" s="720" t="s">
        <v>580</v>
      </c>
      <c r="D36" s="718">
        <f>'Rekapitulacija Posebni dio'!D376</f>
        <v>5500</v>
      </c>
      <c r="E36" s="718">
        <f>'Rekapitulacija Posebni dio'!E376</f>
        <v>5500</v>
      </c>
      <c r="F36" s="718">
        <f>'Rekapitulacija Posebni dio'!F376</f>
        <v>1950.28</v>
      </c>
      <c r="G36" s="710">
        <f t="shared" si="8"/>
        <v>35.459636363636363</v>
      </c>
      <c r="H36" s="710">
        <f t="shared" si="9"/>
        <v>35.459636363636363</v>
      </c>
    </row>
    <row r="37" spans="2:8" ht="15.75" x14ac:dyDescent="0.25">
      <c r="B37" s="705"/>
      <c r="C37" s="708" t="s">
        <v>369</v>
      </c>
      <c r="D37" s="709">
        <f>D25+D27+D29+D31+D33+D35</f>
        <v>4725934.57</v>
      </c>
      <c r="E37" s="709">
        <f>E25+E27+E29+E31+E33+E35</f>
        <v>4614031.7700000005</v>
      </c>
      <c r="F37" s="709">
        <f t="shared" ref="F37" si="15">F25+F27+F29+F31+F33+F35</f>
        <v>2486545.0699999998</v>
      </c>
      <c r="G37" s="710">
        <f t="shared" si="8"/>
        <v>52.614885652130383</v>
      </c>
      <c r="H37" s="710">
        <f t="shared" si="9"/>
        <v>53.890939506903301</v>
      </c>
    </row>
    <row r="39" spans="2:8" ht="15.75" customHeight="1" x14ac:dyDescent="0.25">
      <c r="B39" s="705" t="s">
        <v>583</v>
      </c>
      <c r="C39" s="724" t="s">
        <v>588</v>
      </c>
      <c r="D39" s="698" t="s">
        <v>627</v>
      </c>
      <c r="E39" s="862" t="s">
        <v>628</v>
      </c>
      <c r="F39" s="724" t="s">
        <v>589</v>
      </c>
      <c r="G39" s="724" t="s">
        <v>547</v>
      </c>
      <c r="H39" s="724" t="s">
        <v>547</v>
      </c>
    </row>
    <row r="40" spans="2:8" ht="15.75" x14ac:dyDescent="0.25">
      <c r="B40" s="705">
        <v>1</v>
      </c>
      <c r="C40" s="705" t="s">
        <v>88</v>
      </c>
      <c r="D40" s="722">
        <f>'RASHODI-ek.kl.'!E58</f>
        <v>3228791.6399999997</v>
      </c>
      <c r="E40" s="722">
        <f>'RASHODI-ek.kl.'!F58</f>
        <v>3224991.6399999997</v>
      </c>
      <c r="F40" s="722">
        <f>'RASHODI-ek.kl.'!G58</f>
        <v>1983259.5</v>
      </c>
      <c r="G40" s="723">
        <f>F40/D40*100</f>
        <v>61.424202027480476</v>
      </c>
      <c r="H40" s="723">
        <f>F40/E40*100</f>
        <v>61.496578019036363</v>
      </c>
    </row>
    <row r="41" spans="2:8" ht="15.75" x14ac:dyDescent="0.25">
      <c r="B41" s="705">
        <v>2</v>
      </c>
      <c r="C41" s="705" t="s">
        <v>102</v>
      </c>
      <c r="D41" s="722">
        <f>'RASHODI-ek.kl.'!E82</f>
        <v>1058244.53</v>
      </c>
      <c r="E41" s="722">
        <f>'RASHODI-ek.kl.'!F82</f>
        <v>1006865.44</v>
      </c>
      <c r="F41" s="722">
        <f>'RASHODI-ek.kl.'!G82</f>
        <v>410094.21</v>
      </c>
      <c r="G41" s="723">
        <f t="shared" ref="G41:G45" si="16">F41/D41*100</f>
        <v>38.752310867130113</v>
      </c>
      <c r="H41" s="723">
        <f t="shared" ref="H41:H46" si="17">F41/E41*100</f>
        <v>40.729793049605526</v>
      </c>
    </row>
    <row r="42" spans="2:8" ht="15.75" x14ac:dyDescent="0.25">
      <c r="B42" s="705">
        <v>3</v>
      </c>
      <c r="C42" s="705" t="s">
        <v>153</v>
      </c>
      <c r="D42" s="722">
        <f>'RASHODI-ek.kl.'!E178</f>
        <v>9972.52</v>
      </c>
      <c r="E42" s="722">
        <f>'RASHODI-ek.kl.'!F178</f>
        <v>9972.52</v>
      </c>
      <c r="F42" s="722">
        <f>'RASHODI-ek.kl.'!G178</f>
        <v>3054.41</v>
      </c>
      <c r="G42" s="723">
        <f t="shared" si="16"/>
        <v>30.628266476276806</v>
      </c>
      <c r="H42" s="723">
        <f t="shared" si="17"/>
        <v>30.628266476276806</v>
      </c>
    </row>
    <row r="43" spans="2:8" ht="31.5" customHeight="1" x14ac:dyDescent="0.25">
      <c r="B43" s="705">
        <v>4</v>
      </c>
      <c r="C43" s="721" t="s">
        <v>590</v>
      </c>
      <c r="D43" s="722">
        <f>'RASHODI-ek.kl.'!E194</f>
        <v>2000</v>
      </c>
      <c r="E43" s="722">
        <f>'RASHODI-ek.kl.'!F194</f>
        <v>2000</v>
      </c>
      <c r="F43" s="722">
        <f>'RASHODI-ek.kl.'!G194</f>
        <v>0</v>
      </c>
      <c r="G43" s="723">
        <f t="shared" si="16"/>
        <v>0</v>
      </c>
      <c r="H43" s="723">
        <f t="shared" si="17"/>
        <v>0</v>
      </c>
    </row>
    <row r="44" spans="2:8" ht="15.75" x14ac:dyDescent="0.25">
      <c r="B44" s="705">
        <v>5</v>
      </c>
      <c r="C44" s="705" t="s">
        <v>340</v>
      </c>
      <c r="D44" s="722">
        <f>'RASHODI-ek.kl.'!E199</f>
        <v>500</v>
      </c>
      <c r="E44" s="722">
        <f>'RASHODI-ek.kl.'!F199</f>
        <v>500</v>
      </c>
      <c r="F44" s="722">
        <f>'RASHODI-ek.kl.'!G199</f>
        <v>216.96</v>
      </c>
      <c r="G44" s="723">
        <f t="shared" si="16"/>
        <v>43.392000000000003</v>
      </c>
      <c r="H44" s="723">
        <f t="shared" si="17"/>
        <v>43.392000000000003</v>
      </c>
    </row>
    <row r="45" spans="2:8" ht="31.5" x14ac:dyDescent="0.25">
      <c r="B45" s="705">
        <v>6</v>
      </c>
      <c r="C45" s="721" t="s">
        <v>174</v>
      </c>
      <c r="D45" s="722">
        <f>'RASHODI-ek.kl.'!E212</f>
        <v>426425.88</v>
      </c>
      <c r="E45" s="722">
        <f>'RASHODI-ek.kl.'!F212</f>
        <v>369702.17000000004</v>
      </c>
      <c r="F45" s="722">
        <f>'RASHODI-ek.kl.'!G212</f>
        <v>169919.99</v>
      </c>
      <c r="G45" s="723">
        <f t="shared" si="16"/>
        <v>39.847485335552335</v>
      </c>
      <c r="H45" s="723">
        <f t="shared" si="17"/>
        <v>45.961317998214604</v>
      </c>
    </row>
    <row r="46" spans="2:8" ht="15.75" x14ac:dyDescent="0.25">
      <c r="B46" s="705"/>
      <c r="C46" s="705" t="s">
        <v>369</v>
      </c>
      <c r="D46" s="722">
        <f>SUM(D40:D45)</f>
        <v>4725934.5699999994</v>
      </c>
      <c r="E46" s="722">
        <f>SUM(E40:E45)</f>
        <v>4614031.7699999996</v>
      </c>
      <c r="F46" s="722">
        <f>SUM(F40:F45)</f>
        <v>2566545.0700000003</v>
      </c>
      <c r="G46" s="723">
        <f>F46/D46*100</f>
        <v>54.30767252454789</v>
      </c>
      <c r="H46" s="723">
        <f t="shared" si="17"/>
        <v>55.624781057803609</v>
      </c>
    </row>
  </sheetData>
  <pageMargins left="0.7" right="0.7" top="0.75" bottom="0.75" header="0.3" footer="0.3"/>
  <pageSetup paperSize="9" scale="9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V18"/>
  <sheetViews>
    <sheetView workbookViewId="0">
      <selection activeCell="H8" sqref="H8"/>
    </sheetView>
  </sheetViews>
  <sheetFormatPr defaultColWidth="8.85546875" defaultRowHeight="15.75" x14ac:dyDescent="0.25"/>
  <cols>
    <col min="1" max="1" width="7" style="616" customWidth="1"/>
    <col min="2" max="2" width="8" style="616" customWidth="1"/>
    <col min="3" max="3" width="5.28515625" style="616" customWidth="1"/>
    <col min="4" max="4" width="60.42578125" style="616" customWidth="1"/>
    <col min="5" max="5" width="12.5703125" style="616" hidden="1" customWidth="1"/>
    <col min="6" max="6" width="11.28515625" style="616" bestFit="1" customWidth="1"/>
    <col min="7" max="7" width="11.85546875" style="616" customWidth="1"/>
    <col min="8" max="8" width="12" style="616" customWidth="1"/>
    <col min="9" max="9" width="9.140625" style="616" bestFit="1" customWidth="1"/>
    <col min="10" max="10" width="9.28515625" style="616" customWidth="1"/>
    <col min="11" max="256" width="8.85546875" style="616"/>
    <col min="257" max="257" width="7" style="616" customWidth="1"/>
    <col min="258" max="258" width="8" style="616" customWidth="1"/>
    <col min="259" max="259" width="5.28515625" style="616" customWidth="1"/>
    <col min="260" max="260" width="60.42578125" style="616" customWidth="1"/>
    <col min="261" max="262" width="0" style="616" hidden="1" customWidth="1"/>
    <col min="263" max="263" width="11.85546875" style="616" customWidth="1"/>
    <col min="264" max="264" width="12" style="616" customWidth="1"/>
    <col min="265" max="265" width="0" style="616" hidden="1" customWidth="1"/>
    <col min="266" max="266" width="9.28515625" style="616" customWidth="1"/>
    <col min="267" max="512" width="8.85546875" style="616"/>
    <col min="513" max="513" width="7" style="616" customWidth="1"/>
    <col min="514" max="514" width="8" style="616" customWidth="1"/>
    <col min="515" max="515" width="5.28515625" style="616" customWidth="1"/>
    <col min="516" max="516" width="60.42578125" style="616" customWidth="1"/>
    <col min="517" max="518" width="0" style="616" hidden="1" customWidth="1"/>
    <col min="519" max="519" width="11.85546875" style="616" customWidth="1"/>
    <col min="520" max="520" width="12" style="616" customWidth="1"/>
    <col min="521" max="521" width="0" style="616" hidden="1" customWidth="1"/>
    <col min="522" max="522" width="9.28515625" style="616" customWidth="1"/>
    <col min="523" max="768" width="8.85546875" style="616"/>
    <col min="769" max="769" width="7" style="616" customWidth="1"/>
    <col min="770" max="770" width="8" style="616" customWidth="1"/>
    <col min="771" max="771" width="5.28515625" style="616" customWidth="1"/>
    <col min="772" max="772" width="60.42578125" style="616" customWidth="1"/>
    <col min="773" max="774" width="0" style="616" hidden="1" customWidth="1"/>
    <col min="775" max="775" width="11.85546875" style="616" customWidth="1"/>
    <col min="776" max="776" width="12" style="616" customWidth="1"/>
    <col min="777" max="777" width="0" style="616" hidden="1" customWidth="1"/>
    <col min="778" max="778" width="9.28515625" style="616" customWidth="1"/>
    <col min="779" max="1024" width="8.85546875" style="616"/>
    <col min="1025" max="1025" width="7" style="616" customWidth="1"/>
    <col min="1026" max="1026" width="8" style="616" customWidth="1"/>
    <col min="1027" max="1027" width="5.28515625" style="616" customWidth="1"/>
    <col min="1028" max="1028" width="60.42578125" style="616" customWidth="1"/>
    <col min="1029" max="1030" width="0" style="616" hidden="1" customWidth="1"/>
    <col min="1031" max="1031" width="11.85546875" style="616" customWidth="1"/>
    <col min="1032" max="1032" width="12" style="616" customWidth="1"/>
    <col min="1033" max="1033" width="0" style="616" hidden="1" customWidth="1"/>
    <col min="1034" max="1034" width="9.28515625" style="616" customWidth="1"/>
    <col min="1035" max="1280" width="8.85546875" style="616"/>
    <col min="1281" max="1281" width="7" style="616" customWidth="1"/>
    <col min="1282" max="1282" width="8" style="616" customWidth="1"/>
    <col min="1283" max="1283" width="5.28515625" style="616" customWidth="1"/>
    <col min="1284" max="1284" width="60.42578125" style="616" customWidth="1"/>
    <col min="1285" max="1286" width="0" style="616" hidden="1" customWidth="1"/>
    <col min="1287" max="1287" width="11.85546875" style="616" customWidth="1"/>
    <col min="1288" max="1288" width="12" style="616" customWidth="1"/>
    <col min="1289" max="1289" width="0" style="616" hidden="1" customWidth="1"/>
    <col min="1290" max="1290" width="9.28515625" style="616" customWidth="1"/>
    <col min="1291" max="1536" width="8.85546875" style="616"/>
    <col min="1537" max="1537" width="7" style="616" customWidth="1"/>
    <col min="1538" max="1538" width="8" style="616" customWidth="1"/>
    <col min="1539" max="1539" width="5.28515625" style="616" customWidth="1"/>
    <col min="1540" max="1540" width="60.42578125" style="616" customWidth="1"/>
    <col min="1541" max="1542" width="0" style="616" hidden="1" customWidth="1"/>
    <col min="1543" max="1543" width="11.85546875" style="616" customWidth="1"/>
    <col min="1544" max="1544" width="12" style="616" customWidth="1"/>
    <col min="1545" max="1545" width="0" style="616" hidden="1" customWidth="1"/>
    <col min="1546" max="1546" width="9.28515625" style="616" customWidth="1"/>
    <col min="1547" max="1792" width="8.85546875" style="616"/>
    <col min="1793" max="1793" width="7" style="616" customWidth="1"/>
    <col min="1794" max="1794" width="8" style="616" customWidth="1"/>
    <col min="1795" max="1795" width="5.28515625" style="616" customWidth="1"/>
    <col min="1796" max="1796" width="60.42578125" style="616" customWidth="1"/>
    <col min="1797" max="1798" width="0" style="616" hidden="1" customWidth="1"/>
    <col min="1799" max="1799" width="11.85546875" style="616" customWidth="1"/>
    <col min="1800" max="1800" width="12" style="616" customWidth="1"/>
    <col min="1801" max="1801" width="0" style="616" hidden="1" customWidth="1"/>
    <col min="1802" max="1802" width="9.28515625" style="616" customWidth="1"/>
    <col min="1803" max="2048" width="8.85546875" style="616"/>
    <col min="2049" max="2049" width="7" style="616" customWidth="1"/>
    <col min="2050" max="2050" width="8" style="616" customWidth="1"/>
    <col min="2051" max="2051" width="5.28515625" style="616" customWidth="1"/>
    <col min="2052" max="2052" width="60.42578125" style="616" customWidth="1"/>
    <col min="2053" max="2054" width="0" style="616" hidden="1" customWidth="1"/>
    <col min="2055" max="2055" width="11.85546875" style="616" customWidth="1"/>
    <col min="2056" max="2056" width="12" style="616" customWidth="1"/>
    <col min="2057" max="2057" width="0" style="616" hidden="1" customWidth="1"/>
    <col min="2058" max="2058" width="9.28515625" style="616" customWidth="1"/>
    <col min="2059" max="2304" width="8.85546875" style="616"/>
    <col min="2305" max="2305" width="7" style="616" customWidth="1"/>
    <col min="2306" max="2306" width="8" style="616" customWidth="1"/>
    <col min="2307" max="2307" width="5.28515625" style="616" customWidth="1"/>
    <col min="2308" max="2308" width="60.42578125" style="616" customWidth="1"/>
    <col min="2309" max="2310" width="0" style="616" hidden="1" customWidth="1"/>
    <col min="2311" max="2311" width="11.85546875" style="616" customWidth="1"/>
    <col min="2312" max="2312" width="12" style="616" customWidth="1"/>
    <col min="2313" max="2313" width="0" style="616" hidden="1" customWidth="1"/>
    <col min="2314" max="2314" width="9.28515625" style="616" customWidth="1"/>
    <col min="2315" max="2560" width="8.85546875" style="616"/>
    <col min="2561" max="2561" width="7" style="616" customWidth="1"/>
    <col min="2562" max="2562" width="8" style="616" customWidth="1"/>
    <col min="2563" max="2563" width="5.28515625" style="616" customWidth="1"/>
    <col min="2564" max="2564" width="60.42578125" style="616" customWidth="1"/>
    <col min="2565" max="2566" width="0" style="616" hidden="1" customWidth="1"/>
    <col min="2567" max="2567" width="11.85546875" style="616" customWidth="1"/>
    <col min="2568" max="2568" width="12" style="616" customWidth="1"/>
    <col min="2569" max="2569" width="0" style="616" hidden="1" customWidth="1"/>
    <col min="2570" max="2570" width="9.28515625" style="616" customWidth="1"/>
    <col min="2571" max="2816" width="8.85546875" style="616"/>
    <col min="2817" max="2817" width="7" style="616" customWidth="1"/>
    <col min="2818" max="2818" width="8" style="616" customWidth="1"/>
    <col min="2819" max="2819" width="5.28515625" style="616" customWidth="1"/>
    <col min="2820" max="2820" width="60.42578125" style="616" customWidth="1"/>
    <col min="2821" max="2822" width="0" style="616" hidden="1" customWidth="1"/>
    <col min="2823" max="2823" width="11.85546875" style="616" customWidth="1"/>
    <col min="2824" max="2824" width="12" style="616" customWidth="1"/>
    <col min="2825" max="2825" width="0" style="616" hidden="1" customWidth="1"/>
    <col min="2826" max="2826" width="9.28515625" style="616" customWidth="1"/>
    <col min="2827" max="3072" width="8.85546875" style="616"/>
    <col min="3073" max="3073" width="7" style="616" customWidth="1"/>
    <col min="3074" max="3074" width="8" style="616" customWidth="1"/>
    <col min="3075" max="3075" width="5.28515625" style="616" customWidth="1"/>
    <col min="3076" max="3076" width="60.42578125" style="616" customWidth="1"/>
    <col min="3077" max="3078" width="0" style="616" hidden="1" customWidth="1"/>
    <col min="3079" max="3079" width="11.85546875" style="616" customWidth="1"/>
    <col min="3080" max="3080" width="12" style="616" customWidth="1"/>
    <col min="3081" max="3081" width="0" style="616" hidden="1" customWidth="1"/>
    <col min="3082" max="3082" width="9.28515625" style="616" customWidth="1"/>
    <col min="3083" max="3328" width="8.85546875" style="616"/>
    <col min="3329" max="3329" width="7" style="616" customWidth="1"/>
    <col min="3330" max="3330" width="8" style="616" customWidth="1"/>
    <col min="3331" max="3331" width="5.28515625" style="616" customWidth="1"/>
    <col min="3332" max="3332" width="60.42578125" style="616" customWidth="1"/>
    <col min="3333" max="3334" width="0" style="616" hidden="1" customWidth="1"/>
    <col min="3335" max="3335" width="11.85546875" style="616" customWidth="1"/>
    <col min="3336" max="3336" width="12" style="616" customWidth="1"/>
    <col min="3337" max="3337" width="0" style="616" hidden="1" customWidth="1"/>
    <col min="3338" max="3338" width="9.28515625" style="616" customWidth="1"/>
    <col min="3339" max="3584" width="8.85546875" style="616"/>
    <col min="3585" max="3585" width="7" style="616" customWidth="1"/>
    <col min="3586" max="3586" width="8" style="616" customWidth="1"/>
    <col min="3587" max="3587" width="5.28515625" style="616" customWidth="1"/>
    <col min="3588" max="3588" width="60.42578125" style="616" customWidth="1"/>
    <col min="3589" max="3590" width="0" style="616" hidden="1" customWidth="1"/>
    <col min="3591" max="3591" width="11.85546875" style="616" customWidth="1"/>
    <col min="3592" max="3592" width="12" style="616" customWidth="1"/>
    <col min="3593" max="3593" width="0" style="616" hidden="1" customWidth="1"/>
    <col min="3594" max="3594" width="9.28515625" style="616" customWidth="1"/>
    <col min="3595" max="3840" width="8.85546875" style="616"/>
    <col min="3841" max="3841" width="7" style="616" customWidth="1"/>
    <col min="3842" max="3842" width="8" style="616" customWidth="1"/>
    <col min="3843" max="3843" width="5.28515625" style="616" customWidth="1"/>
    <col min="3844" max="3844" width="60.42578125" style="616" customWidth="1"/>
    <col min="3845" max="3846" width="0" style="616" hidden="1" customWidth="1"/>
    <col min="3847" max="3847" width="11.85546875" style="616" customWidth="1"/>
    <col min="3848" max="3848" width="12" style="616" customWidth="1"/>
    <col min="3849" max="3849" width="0" style="616" hidden="1" customWidth="1"/>
    <col min="3850" max="3850" width="9.28515625" style="616" customWidth="1"/>
    <col min="3851" max="4096" width="8.85546875" style="616"/>
    <col min="4097" max="4097" width="7" style="616" customWidth="1"/>
    <col min="4098" max="4098" width="8" style="616" customWidth="1"/>
    <col min="4099" max="4099" width="5.28515625" style="616" customWidth="1"/>
    <col min="4100" max="4100" width="60.42578125" style="616" customWidth="1"/>
    <col min="4101" max="4102" width="0" style="616" hidden="1" customWidth="1"/>
    <col min="4103" max="4103" width="11.85546875" style="616" customWidth="1"/>
    <col min="4104" max="4104" width="12" style="616" customWidth="1"/>
    <col min="4105" max="4105" width="0" style="616" hidden="1" customWidth="1"/>
    <col min="4106" max="4106" width="9.28515625" style="616" customWidth="1"/>
    <col min="4107" max="4352" width="8.85546875" style="616"/>
    <col min="4353" max="4353" width="7" style="616" customWidth="1"/>
    <col min="4354" max="4354" width="8" style="616" customWidth="1"/>
    <col min="4355" max="4355" width="5.28515625" style="616" customWidth="1"/>
    <col min="4356" max="4356" width="60.42578125" style="616" customWidth="1"/>
    <col min="4357" max="4358" width="0" style="616" hidden="1" customWidth="1"/>
    <col min="4359" max="4359" width="11.85546875" style="616" customWidth="1"/>
    <col min="4360" max="4360" width="12" style="616" customWidth="1"/>
    <col min="4361" max="4361" width="0" style="616" hidden="1" customWidth="1"/>
    <col min="4362" max="4362" width="9.28515625" style="616" customWidth="1"/>
    <col min="4363" max="4608" width="8.85546875" style="616"/>
    <col min="4609" max="4609" width="7" style="616" customWidth="1"/>
    <col min="4610" max="4610" width="8" style="616" customWidth="1"/>
    <col min="4611" max="4611" width="5.28515625" style="616" customWidth="1"/>
    <col min="4612" max="4612" width="60.42578125" style="616" customWidth="1"/>
    <col min="4613" max="4614" width="0" style="616" hidden="1" customWidth="1"/>
    <col min="4615" max="4615" width="11.85546875" style="616" customWidth="1"/>
    <col min="4616" max="4616" width="12" style="616" customWidth="1"/>
    <col min="4617" max="4617" width="0" style="616" hidden="1" customWidth="1"/>
    <col min="4618" max="4618" width="9.28515625" style="616" customWidth="1"/>
    <col min="4619" max="4864" width="8.85546875" style="616"/>
    <col min="4865" max="4865" width="7" style="616" customWidth="1"/>
    <col min="4866" max="4866" width="8" style="616" customWidth="1"/>
    <col min="4867" max="4867" width="5.28515625" style="616" customWidth="1"/>
    <col min="4868" max="4868" width="60.42578125" style="616" customWidth="1"/>
    <col min="4869" max="4870" width="0" style="616" hidden="1" customWidth="1"/>
    <col min="4871" max="4871" width="11.85546875" style="616" customWidth="1"/>
    <col min="4872" max="4872" width="12" style="616" customWidth="1"/>
    <col min="4873" max="4873" width="0" style="616" hidden="1" customWidth="1"/>
    <col min="4874" max="4874" width="9.28515625" style="616" customWidth="1"/>
    <col min="4875" max="5120" width="8.85546875" style="616"/>
    <col min="5121" max="5121" width="7" style="616" customWidth="1"/>
    <col min="5122" max="5122" width="8" style="616" customWidth="1"/>
    <col min="5123" max="5123" width="5.28515625" style="616" customWidth="1"/>
    <col min="5124" max="5124" width="60.42578125" style="616" customWidth="1"/>
    <col min="5125" max="5126" width="0" style="616" hidden="1" customWidth="1"/>
    <col min="5127" max="5127" width="11.85546875" style="616" customWidth="1"/>
    <col min="5128" max="5128" width="12" style="616" customWidth="1"/>
    <col min="5129" max="5129" width="0" style="616" hidden="1" customWidth="1"/>
    <col min="5130" max="5130" width="9.28515625" style="616" customWidth="1"/>
    <col min="5131" max="5376" width="8.85546875" style="616"/>
    <col min="5377" max="5377" width="7" style="616" customWidth="1"/>
    <col min="5378" max="5378" width="8" style="616" customWidth="1"/>
    <col min="5379" max="5379" width="5.28515625" style="616" customWidth="1"/>
    <col min="5380" max="5380" width="60.42578125" style="616" customWidth="1"/>
    <col min="5381" max="5382" width="0" style="616" hidden="1" customWidth="1"/>
    <col min="5383" max="5383" width="11.85546875" style="616" customWidth="1"/>
    <col min="5384" max="5384" width="12" style="616" customWidth="1"/>
    <col min="5385" max="5385" width="0" style="616" hidden="1" customWidth="1"/>
    <col min="5386" max="5386" width="9.28515625" style="616" customWidth="1"/>
    <col min="5387" max="5632" width="8.85546875" style="616"/>
    <col min="5633" max="5633" width="7" style="616" customWidth="1"/>
    <col min="5634" max="5634" width="8" style="616" customWidth="1"/>
    <col min="5635" max="5635" width="5.28515625" style="616" customWidth="1"/>
    <col min="5636" max="5636" width="60.42578125" style="616" customWidth="1"/>
    <col min="5637" max="5638" width="0" style="616" hidden="1" customWidth="1"/>
    <col min="5639" max="5639" width="11.85546875" style="616" customWidth="1"/>
    <col min="5640" max="5640" width="12" style="616" customWidth="1"/>
    <col min="5641" max="5641" width="0" style="616" hidden="1" customWidth="1"/>
    <col min="5642" max="5642" width="9.28515625" style="616" customWidth="1"/>
    <col min="5643" max="5888" width="8.85546875" style="616"/>
    <col min="5889" max="5889" width="7" style="616" customWidth="1"/>
    <col min="5890" max="5890" width="8" style="616" customWidth="1"/>
    <col min="5891" max="5891" width="5.28515625" style="616" customWidth="1"/>
    <col min="5892" max="5892" width="60.42578125" style="616" customWidth="1"/>
    <col min="5893" max="5894" width="0" style="616" hidden="1" customWidth="1"/>
    <col min="5895" max="5895" width="11.85546875" style="616" customWidth="1"/>
    <col min="5896" max="5896" width="12" style="616" customWidth="1"/>
    <col min="5897" max="5897" width="0" style="616" hidden="1" customWidth="1"/>
    <col min="5898" max="5898" width="9.28515625" style="616" customWidth="1"/>
    <col min="5899" max="6144" width="8.85546875" style="616"/>
    <col min="6145" max="6145" width="7" style="616" customWidth="1"/>
    <col min="6146" max="6146" width="8" style="616" customWidth="1"/>
    <col min="6147" max="6147" width="5.28515625" style="616" customWidth="1"/>
    <col min="6148" max="6148" width="60.42578125" style="616" customWidth="1"/>
    <col min="6149" max="6150" width="0" style="616" hidden="1" customWidth="1"/>
    <col min="6151" max="6151" width="11.85546875" style="616" customWidth="1"/>
    <col min="6152" max="6152" width="12" style="616" customWidth="1"/>
    <col min="6153" max="6153" width="0" style="616" hidden="1" customWidth="1"/>
    <col min="6154" max="6154" width="9.28515625" style="616" customWidth="1"/>
    <col min="6155" max="6400" width="8.85546875" style="616"/>
    <col min="6401" max="6401" width="7" style="616" customWidth="1"/>
    <col min="6402" max="6402" width="8" style="616" customWidth="1"/>
    <col min="6403" max="6403" width="5.28515625" style="616" customWidth="1"/>
    <col min="6404" max="6404" width="60.42578125" style="616" customWidth="1"/>
    <col min="6405" max="6406" width="0" style="616" hidden="1" customWidth="1"/>
    <col min="6407" max="6407" width="11.85546875" style="616" customWidth="1"/>
    <col min="6408" max="6408" width="12" style="616" customWidth="1"/>
    <col min="6409" max="6409" width="0" style="616" hidden="1" customWidth="1"/>
    <col min="6410" max="6410" width="9.28515625" style="616" customWidth="1"/>
    <col min="6411" max="6656" width="8.85546875" style="616"/>
    <col min="6657" max="6657" width="7" style="616" customWidth="1"/>
    <col min="6658" max="6658" width="8" style="616" customWidth="1"/>
    <col min="6659" max="6659" width="5.28515625" style="616" customWidth="1"/>
    <col min="6660" max="6660" width="60.42578125" style="616" customWidth="1"/>
    <col min="6661" max="6662" width="0" style="616" hidden="1" customWidth="1"/>
    <col min="6663" max="6663" width="11.85546875" style="616" customWidth="1"/>
    <col min="6664" max="6664" width="12" style="616" customWidth="1"/>
    <col min="6665" max="6665" width="0" style="616" hidden="1" customWidth="1"/>
    <col min="6666" max="6666" width="9.28515625" style="616" customWidth="1"/>
    <col min="6667" max="6912" width="8.85546875" style="616"/>
    <col min="6913" max="6913" width="7" style="616" customWidth="1"/>
    <col min="6914" max="6914" width="8" style="616" customWidth="1"/>
    <col min="6915" max="6915" width="5.28515625" style="616" customWidth="1"/>
    <col min="6916" max="6916" width="60.42578125" style="616" customWidth="1"/>
    <col min="6917" max="6918" width="0" style="616" hidden="1" customWidth="1"/>
    <col min="6919" max="6919" width="11.85546875" style="616" customWidth="1"/>
    <col min="6920" max="6920" width="12" style="616" customWidth="1"/>
    <col min="6921" max="6921" width="0" style="616" hidden="1" customWidth="1"/>
    <col min="6922" max="6922" width="9.28515625" style="616" customWidth="1"/>
    <col min="6923" max="7168" width="8.85546875" style="616"/>
    <col min="7169" max="7169" width="7" style="616" customWidth="1"/>
    <col min="7170" max="7170" width="8" style="616" customWidth="1"/>
    <col min="7171" max="7171" width="5.28515625" style="616" customWidth="1"/>
    <col min="7172" max="7172" width="60.42578125" style="616" customWidth="1"/>
    <col min="7173" max="7174" width="0" style="616" hidden="1" customWidth="1"/>
    <col min="7175" max="7175" width="11.85546875" style="616" customWidth="1"/>
    <col min="7176" max="7176" width="12" style="616" customWidth="1"/>
    <col min="7177" max="7177" width="0" style="616" hidden="1" customWidth="1"/>
    <col min="7178" max="7178" width="9.28515625" style="616" customWidth="1"/>
    <col min="7179" max="7424" width="8.85546875" style="616"/>
    <col min="7425" max="7425" width="7" style="616" customWidth="1"/>
    <col min="7426" max="7426" width="8" style="616" customWidth="1"/>
    <col min="7427" max="7427" width="5.28515625" style="616" customWidth="1"/>
    <col min="7428" max="7428" width="60.42578125" style="616" customWidth="1"/>
    <col min="7429" max="7430" width="0" style="616" hidden="1" customWidth="1"/>
    <col min="7431" max="7431" width="11.85546875" style="616" customWidth="1"/>
    <col min="7432" max="7432" width="12" style="616" customWidth="1"/>
    <col min="7433" max="7433" width="0" style="616" hidden="1" customWidth="1"/>
    <col min="7434" max="7434" width="9.28515625" style="616" customWidth="1"/>
    <col min="7435" max="7680" width="8.85546875" style="616"/>
    <col min="7681" max="7681" width="7" style="616" customWidth="1"/>
    <col min="7682" max="7682" width="8" style="616" customWidth="1"/>
    <col min="7683" max="7683" width="5.28515625" style="616" customWidth="1"/>
    <col min="7684" max="7684" width="60.42578125" style="616" customWidth="1"/>
    <col min="7685" max="7686" width="0" style="616" hidden="1" customWidth="1"/>
    <col min="7687" max="7687" width="11.85546875" style="616" customWidth="1"/>
    <col min="7688" max="7688" width="12" style="616" customWidth="1"/>
    <col min="7689" max="7689" width="0" style="616" hidden="1" customWidth="1"/>
    <col min="7690" max="7690" width="9.28515625" style="616" customWidth="1"/>
    <col min="7691" max="7936" width="8.85546875" style="616"/>
    <col min="7937" max="7937" width="7" style="616" customWidth="1"/>
    <col min="7938" max="7938" width="8" style="616" customWidth="1"/>
    <col min="7939" max="7939" width="5.28515625" style="616" customWidth="1"/>
    <col min="7940" max="7940" width="60.42578125" style="616" customWidth="1"/>
    <col min="7941" max="7942" width="0" style="616" hidden="1" customWidth="1"/>
    <col min="7943" max="7943" width="11.85546875" style="616" customWidth="1"/>
    <col min="7944" max="7944" width="12" style="616" customWidth="1"/>
    <col min="7945" max="7945" width="0" style="616" hidden="1" customWidth="1"/>
    <col min="7946" max="7946" width="9.28515625" style="616" customWidth="1"/>
    <col min="7947" max="8192" width="8.85546875" style="616"/>
    <col min="8193" max="8193" width="7" style="616" customWidth="1"/>
    <col min="8194" max="8194" width="8" style="616" customWidth="1"/>
    <col min="8195" max="8195" width="5.28515625" style="616" customWidth="1"/>
    <col min="8196" max="8196" width="60.42578125" style="616" customWidth="1"/>
    <col min="8197" max="8198" width="0" style="616" hidden="1" customWidth="1"/>
    <col min="8199" max="8199" width="11.85546875" style="616" customWidth="1"/>
    <col min="8200" max="8200" width="12" style="616" customWidth="1"/>
    <col min="8201" max="8201" width="0" style="616" hidden="1" customWidth="1"/>
    <col min="8202" max="8202" width="9.28515625" style="616" customWidth="1"/>
    <col min="8203" max="8448" width="8.85546875" style="616"/>
    <col min="8449" max="8449" width="7" style="616" customWidth="1"/>
    <col min="8450" max="8450" width="8" style="616" customWidth="1"/>
    <col min="8451" max="8451" width="5.28515625" style="616" customWidth="1"/>
    <col min="8452" max="8452" width="60.42578125" style="616" customWidth="1"/>
    <col min="8453" max="8454" width="0" style="616" hidden="1" customWidth="1"/>
    <col min="8455" max="8455" width="11.85546875" style="616" customWidth="1"/>
    <col min="8456" max="8456" width="12" style="616" customWidth="1"/>
    <col min="8457" max="8457" width="0" style="616" hidden="1" customWidth="1"/>
    <col min="8458" max="8458" width="9.28515625" style="616" customWidth="1"/>
    <col min="8459" max="8704" width="8.85546875" style="616"/>
    <col min="8705" max="8705" width="7" style="616" customWidth="1"/>
    <col min="8706" max="8706" width="8" style="616" customWidth="1"/>
    <col min="8707" max="8707" width="5.28515625" style="616" customWidth="1"/>
    <col min="8708" max="8708" width="60.42578125" style="616" customWidth="1"/>
    <col min="8709" max="8710" width="0" style="616" hidden="1" customWidth="1"/>
    <col min="8711" max="8711" width="11.85546875" style="616" customWidth="1"/>
    <col min="8712" max="8712" width="12" style="616" customWidth="1"/>
    <col min="8713" max="8713" width="0" style="616" hidden="1" customWidth="1"/>
    <col min="8714" max="8714" width="9.28515625" style="616" customWidth="1"/>
    <col min="8715" max="8960" width="8.85546875" style="616"/>
    <col min="8961" max="8961" width="7" style="616" customWidth="1"/>
    <col min="8962" max="8962" width="8" style="616" customWidth="1"/>
    <col min="8963" max="8963" width="5.28515625" style="616" customWidth="1"/>
    <col min="8964" max="8964" width="60.42578125" style="616" customWidth="1"/>
    <col min="8965" max="8966" width="0" style="616" hidden="1" customWidth="1"/>
    <col min="8967" max="8967" width="11.85546875" style="616" customWidth="1"/>
    <col min="8968" max="8968" width="12" style="616" customWidth="1"/>
    <col min="8969" max="8969" width="0" style="616" hidden="1" customWidth="1"/>
    <col min="8970" max="8970" width="9.28515625" style="616" customWidth="1"/>
    <col min="8971" max="9216" width="8.85546875" style="616"/>
    <col min="9217" max="9217" width="7" style="616" customWidth="1"/>
    <col min="9218" max="9218" width="8" style="616" customWidth="1"/>
    <col min="9219" max="9219" width="5.28515625" style="616" customWidth="1"/>
    <col min="9220" max="9220" width="60.42578125" style="616" customWidth="1"/>
    <col min="9221" max="9222" width="0" style="616" hidden="1" customWidth="1"/>
    <col min="9223" max="9223" width="11.85546875" style="616" customWidth="1"/>
    <col min="9224" max="9224" width="12" style="616" customWidth="1"/>
    <col min="9225" max="9225" width="0" style="616" hidden="1" customWidth="1"/>
    <col min="9226" max="9226" width="9.28515625" style="616" customWidth="1"/>
    <col min="9227" max="9472" width="8.85546875" style="616"/>
    <col min="9473" max="9473" width="7" style="616" customWidth="1"/>
    <col min="9474" max="9474" width="8" style="616" customWidth="1"/>
    <col min="9475" max="9475" width="5.28515625" style="616" customWidth="1"/>
    <col min="9476" max="9476" width="60.42578125" style="616" customWidth="1"/>
    <col min="9477" max="9478" width="0" style="616" hidden="1" customWidth="1"/>
    <col min="9479" max="9479" width="11.85546875" style="616" customWidth="1"/>
    <col min="9480" max="9480" width="12" style="616" customWidth="1"/>
    <col min="9481" max="9481" width="0" style="616" hidden="1" customWidth="1"/>
    <col min="9482" max="9482" width="9.28515625" style="616" customWidth="1"/>
    <col min="9483" max="9728" width="8.85546875" style="616"/>
    <col min="9729" max="9729" width="7" style="616" customWidth="1"/>
    <col min="9730" max="9730" width="8" style="616" customWidth="1"/>
    <col min="9731" max="9731" width="5.28515625" style="616" customWidth="1"/>
    <col min="9732" max="9732" width="60.42578125" style="616" customWidth="1"/>
    <col min="9733" max="9734" width="0" style="616" hidden="1" customWidth="1"/>
    <col min="9735" max="9735" width="11.85546875" style="616" customWidth="1"/>
    <col min="9736" max="9736" width="12" style="616" customWidth="1"/>
    <col min="9737" max="9737" width="0" style="616" hidden="1" customWidth="1"/>
    <col min="9738" max="9738" width="9.28515625" style="616" customWidth="1"/>
    <col min="9739" max="9984" width="8.85546875" style="616"/>
    <col min="9985" max="9985" width="7" style="616" customWidth="1"/>
    <col min="9986" max="9986" width="8" style="616" customWidth="1"/>
    <col min="9987" max="9987" width="5.28515625" style="616" customWidth="1"/>
    <col min="9988" max="9988" width="60.42578125" style="616" customWidth="1"/>
    <col min="9989" max="9990" width="0" style="616" hidden="1" customWidth="1"/>
    <col min="9991" max="9991" width="11.85546875" style="616" customWidth="1"/>
    <col min="9992" max="9992" width="12" style="616" customWidth="1"/>
    <col min="9993" max="9993" width="0" style="616" hidden="1" customWidth="1"/>
    <col min="9994" max="9994" width="9.28515625" style="616" customWidth="1"/>
    <col min="9995" max="10240" width="8.85546875" style="616"/>
    <col min="10241" max="10241" width="7" style="616" customWidth="1"/>
    <col min="10242" max="10242" width="8" style="616" customWidth="1"/>
    <col min="10243" max="10243" width="5.28515625" style="616" customWidth="1"/>
    <col min="10244" max="10244" width="60.42578125" style="616" customWidth="1"/>
    <col min="10245" max="10246" width="0" style="616" hidden="1" customWidth="1"/>
    <col min="10247" max="10247" width="11.85546875" style="616" customWidth="1"/>
    <col min="10248" max="10248" width="12" style="616" customWidth="1"/>
    <col min="10249" max="10249" width="0" style="616" hidden="1" customWidth="1"/>
    <col min="10250" max="10250" width="9.28515625" style="616" customWidth="1"/>
    <col min="10251" max="10496" width="8.85546875" style="616"/>
    <col min="10497" max="10497" width="7" style="616" customWidth="1"/>
    <col min="10498" max="10498" width="8" style="616" customWidth="1"/>
    <col min="10499" max="10499" width="5.28515625" style="616" customWidth="1"/>
    <col min="10500" max="10500" width="60.42578125" style="616" customWidth="1"/>
    <col min="10501" max="10502" width="0" style="616" hidden="1" customWidth="1"/>
    <col min="10503" max="10503" width="11.85546875" style="616" customWidth="1"/>
    <col min="10504" max="10504" width="12" style="616" customWidth="1"/>
    <col min="10505" max="10505" width="0" style="616" hidden="1" customWidth="1"/>
    <col min="10506" max="10506" width="9.28515625" style="616" customWidth="1"/>
    <col min="10507" max="10752" width="8.85546875" style="616"/>
    <col min="10753" max="10753" width="7" style="616" customWidth="1"/>
    <col min="10754" max="10754" width="8" style="616" customWidth="1"/>
    <col min="10755" max="10755" width="5.28515625" style="616" customWidth="1"/>
    <col min="10756" max="10756" width="60.42578125" style="616" customWidth="1"/>
    <col min="10757" max="10758" width="0" style="616" hidden="1" customWidth="1"/>
    <col min="10759" max="10759" width="11.85546875" style="616" customWidth="1"/>
    <col min="10760" max="10760" width="12" style="616" customWidth="1"/>
    <col min="10761" max="10761" width="0" style="616" hidden="1" customWidth="1"/>
    <col min="10762" max="10762" width="9.28515625" style="616" customWidth="1"/>
    <col min="10763" max="11008" width="8.85546875" style="616"/>
    <col min="11009" max="11009" width="7" style="616" customWidth="1"/>
    <col min="11010" max="11010" width="8" style="616" customWidth="1"/>
    <col min="11011" max="11011" width="5.28515625" style="616" customWidth="1"/>
    <col min="11012" max="11012" width="60.42578125" style="616" customWidth="1"/>
    <col min="11013" max="11014" width="0" style="616" hidden="1" customWidth="1"/>
    <col min="11015" max="11015" width="11.85546875" style="616" customWidth="1"/>
    <col min="11016" max="11016" width="12" style="616" customWidth="1"/>
    <col min="11017" max="11017" width="0" style="616" hidden="1" customWidth="1"/>
    <col min="11018" max="11018" width="9.28515625" style="616" customWidth="1"/>
    <col min="11019" max="11264" width="8.85546875" style="616"/>
    <col min="11265" max="11265" width="7" style="616" customWidth="1"/>
    <col min="11266" max="11266" width="8" style="616" customWidth="1"/>
    <col min="11267" max="11267" width="5.28515625" style="616" customWidth="1"/>
    <col min="11268" max="11268" width="60.42578125" style="616" customWidth="1"/>
    <col min="11269" max="11270" width="0" style="616" hidden="1" customWidth="1"/>
    <col min="11271" max="11271" width="11.85546875" style="616" customWidth="1"/>
    <col min="11272" max="11272" width="12" style="616" customWidth="1"/>
    <col min="11273" max="11273" width="0" style="616" hidden="1" customWidth="1"/>
    <col min="11274" max="11274" width="9.28515625" style="616" customWidth="1"/>
    <col min="11275" max="11520" width="8.85546875" style="616"/>
    <col min="11521" max="11521" width="7" style="616" customWidth="1"/>
    <col min="11522" max="11522" width="8" style="616" customWidth="1"/>
    <col min="11523" max="11523" width="5.28515625" style="616" customWidth="1"/>
    <col min="11524" max="11524" width="60.42578125" style="616" customWidth="1"/>
    <col min="11525" max="11526" width="0" style="616" hidden="1" customWidth="1"/>
    <col min="11527" max="11527" width="11.85546875" style="616" customWidth="1"/>
    <col min="11528" max="11528" width="12" style="616" customWidth="1"/>
    <col min="11529" max="11529" width="0" style="616" hidden="1" customWidth="1"/>
    <col min="11530" max="11530" width="9.28515625" style="616" customWidth="1"/>
    <col min="11531" max="11776" width="8.85546875" style="616"/>
    <col min="11777" max="11777" width="7" style="616" customWidth="1"/>
    <col min="11778" max="11778" width="8" style="616" customWidth="1"/>
    <col min="11779" max="11779" width="5.28515625" style="616" customWidth="1"/>
    <col min="11780" max="11780" width="60.42578125" style="616" customWidth="1"/>
    <col min="11781" max="11782" width="0" style="616" hidden="1" customWidth="1"/>
    <col min="11783" max="11783" width="11.85546875" style="616" customWidth="1"/>
    <col min="11784" max="11784" width="12" style="616" customWidth="1"/>
    <col min="11785" max="11785" width="0" style="616" hidden="1" customWidth="1"/>
    <col min="11786" max="11786" width="9.28515625" style="616" customWidth="1"/>
    <col min="11787" max="12032" width="8.85546875" style="616"/>
    <col min="12033" max="12033" width="7" style="616" customWidth="1"/>
    <col min="12034" max="12034" width="8" style="616" customWidth="1"/>
    <col min="12035" max="12035" width="5.28515625" style="616" customWidth="1"/>
    <col min="12036" max="12036" width="60.42578125" style="616" customWidth="1"/>
    <col min="12037" max="12038" width="0" style="616" hidden="1" customWidth="1"/>
    <col min="12039" max="12039" width="11.85546875" style="616" customWidth="1"/>
    <col min="12040" max="12040" width="12" style="616" customWidth="1"/>
    <col min="12041" max="12041" width="0" style="616" hidden="1" customWidth="1"/>
    <col min="12042" max="12042" width="9.28515625" style="616" customWidth="1"/>
    <col min="12043" max="12288" width="8.85546875" style="616"/>
    <col min="12289" max="12289" width="7" style="616" customWidth="1"/>
    <col min="12290" max="12290" width="8" style="616" customWidth="1"/>
    <col min="12291" max="12291" width="5.28515625" style="616" customWidth="1"/>
    <col min="12292" max="12292" width="60.42578125" style="616" customWidth="1"/>
    <col min="12293" max="12294" width="0" style="616" hidden="1" customWidth="1"/>
    <col min="12295" max="12295" width="11.85546875" style="616" customWidth="1"/>
    <col min="12296" max="12296" width="12" style="616" customWidth="1"/>
    <col min="12297" max="12297" width="0" style="616" hidden="1" customWidth="1"/>
    <col min="12298" max="12298" width="9.28515625" style="616" customWidth="1"/>
    <col min="12299" max="12544" width="8.85546875" style="616"/>
    <col min="12545" max="12545" width="7" style="616" customWidth="1"/>
    <col min="12546" max="12546" width="8" style="616" customWidth="1"/>
    <col min="12547" max="12547" width="5.28515625" style="616" customWidth="1"/>
    <col min="12548" max="12548" width="60.42578125" style="616" customWidth="1"/>
    <col min="12549" max="12550" width="0" style="616" hidden="1" customWidth="1"/>
    <col min="12551" max="12551" width="11.85546875" style="616" customWidth="1"/>
    <col min="12552" max="12552" width="12" style="616" customWidth="1"/>
    <col min="12553" max="12553" width="0" style="616" hidden="1" customWidth="1"/>
    <col min="12554" max="12554" width="9.28515625" style="616" customWidth="1"/>
    <col min="12555" max="12800" width="8.85546875" style="616"/>
    <col min="12801" max="12801" width="7" style="616" customWidth="1"/>
    <col min="12802" max="12802" width="8" style="616" customWidth="1"/>
    <col min="12803" max="12803" width="5.28515625" style="616" customWidth="1"/>
    <col min="12804" max="12804" width="60.42578125" style="616" customWidth="1"/>
    <col min="12805" max="12806" width="0" style="616" hidden="1" customWidth="1"/>
    <col min="12807" max="12807" width="11.85546875" style="616" customWidth="1"/>
    <col min="12808" max="12808" width="12" style="616" customWidth="1"/>
    <col min="12809" max="12809" width="0" style="616" hidden="1" customWidth="1"/>
    <col min="12810" max="12810" width="9.28515625" style="616" customWidth="1"/>
    <col min="12811" max="13056" width="8.85546875" style="616"/>
    <col min="13057" max="13057" width="7" style="616" customWidth="1"/>
    <col min="13058" max="13058" width="8" style="616" customWidth="1"/>
    <col min="13059" max="13059" width="5.28515625" style="616" customWidth="1"/>
    <col min="13060" max="13060" width="60.42578125" style="616" customWidth="1"/>
    <col min="13061" max="13062" width="0" style="616" hidden="1" customWidth="1"/>
    <col min="13063" max="13063" width="11.85546875" style="616" customWidth="1"/>
    <col min="13064" max="13064" width="12" style="616" customWidth="1"/>
    <col min="13065" max="13065" width="0" style="616" hidden="1" customWidth="1"/>
    <col min="13066" max="13066" width="9.28515625" style="616" customWidth="1"/>
    <col min="13067" max="13312" width="8.85546875" style="616"/>
    <col min="13313" max="13313" width="7" style="616" customWidth="1"/>
    <col min="13314" max="13314" width="8" style="616" customWidth="1"/>
    <col min="13315" max="13315" width="5.28515625" style="616" customWidth="1"/>
    <col min="13316" max="13316" width="60.42578125" style="616" customWidth="1"/>
    <col min="13317" max="13318" width="0" style="616" hidden="1" customWidth="1"/>
    <col min="13319" max="13319" width="11.85546875" style="616" customWidth="1"/>
    <col min="13320" max="13320" width="12" style="616" customWidth="1"/>
    <col min="13321" max="13321" width="0" style="616" hidden="1" customWidth="1"/>
    <col min="13322" max="13322" width="9.28515625" style="616" customWidth="1"/>
    <col min="13323" max="13568" width="8.85546875" style="616"/>
    <col min="13569" max="13569" width="7" style="616" customWidth="1"/>
    <col min="13570" max="13570" width="8" style="616" customWidth="1"/>
    <col min="13571" max="13571" width="5.28515625" style="616" customWidth="1"/>
    <col min="13572" max="13572" width="60.42578125" style="616" customWidth="1"/>
    <col min="13573" max="13574" width="0" style="616" hidden="1" customWidth="1"/>
    <col min="13575" max="13575" width="11.85546875" style="616" customWidth="1"/>
    <col min="13576" max="13576" width="12" style="616" customWidth="1"/>
    <col min="13577" max="13577" width="0" style="616" hidden="1" customWidth="1"/>
    <col min="13578" max="13578" width="9.28515625" style="616" customWidth="1"/>
    <col min="13579" max="13824" width="8.85546875" style="616"/>
    <col min="13825" max="13825" width="7" style="616" customWidth="1"/>
    <col min="13826" max="13826" width="8" style="616" customWidth="1"/>
    <col min="13827" max="13827" width="5.28515625" style="616" customWidth="1"/>
    <col min="13828" max="13828" width="60.42578125" style="616" customWidth="1"/>
    <col min="13829" max="13830" width="0" style="616" hidden="1" customWidth="1"/>
    <col min="13831" max="13831" width="11.85546875" style="616" customWidth="1"/>
    <col min="13832" max="13832" width="12" style="616" customWidth="1"/>
    <col min="13833" max="13833" width="0" style="616" hidden="1" customWidth="1"/>
    <col min="13834" max="13834" width="9.28515625" style="616" customWidth="1"/>
    <col min="13835" max="14080" width="8.85546875" style="616"/>
    <col min="14081" max="14081" width="7" style="616" customWidth="1"/>
    <col min="14082" max="14082" width="8" style="616" customWidth="1"/>
    <col min="14083" max="14083" width="5.28515625" style="616" customWidth="1"/>
    <col min="14084" max="14084" width="60.42578125" style="616" customWidth="1"/>
    <col min="14085" max="14086" width="0" style="616" hidden="1" customWidth="1"/>
    <col min="14087" max="14087" width="11.85546875" style="616" customWidth="1"/>
    <col min="14088" max="14088" width="12" style="616" customWidth="1"/>
    <col min="14089" max="14089" width="0" style="616" hidden="1" customWidth="1"/>
    <col min="14090" max="14090" width="9.28515625" style="616" customWidth="1"/>
    <col min="14091" max="14336" width="8.85546875" style="616"/>
    <col min="14337" max="14337" width="7" style="616" customWidth="1"/>
    <col min="14338" max="14338" width="8" style="616" customWidth="1"/>
    <col min="14339" max="14339" width="5.28515625" style="616" customWidth="1"/>
    <col min="14340" max="14340" width="60.42578125" style="616" customWidth="1"/>
    <col min="14341" max="14342" width="0" style="616" hidden="1" customWidth="1"/>
    <col min="14343" max="14343" width="11.85546875" style="616" customWidth="1"/>
    <col min="14344" max="14344" width="12" style="616" customWidth="1"/>
    <col min="14345" max="14345" width="0" style="616" hidden="1" customWidth="1"/>
    <col min="14346" max="14346" width="9.28515625" style="616" customWidth="1"/>
    <col min="14347" max="14592" width="8.85546875" style="616"/>
    <col min="14593" max="14593" width="7" style="616" customWidth="1"/>
    <col min="14594" max="14594" width="8" style="616" customWidth="1"/>
    <col min="14595" max="14595" width="5.28515625" style="616" customWidth="1"/>
    <col min="14596" max="14596" width="60.42578125" style="616" customWidth="1"/>
    <col min="14597" max="14598" width="0" style="616" hidden="1" customWidth="1"/>
    <col min="14599" max="14599" width="11.85546875" style="616" customWidth="1"/>
    <col min="14600" max="14600" width="12" style="616" customWidth="1"/>
    <col min="14601" max="14601" width="0" style="616" hidden="1" customWidth="1"/>
    <col min="14602" max="14602" width="9.28515625" style="616" customWidth="1"/>
    <col min="14603" max="14848" width="8.85546875" style="616"/>
    <col min="14849" max="14849" width="7" style="616" customWidth="1"/>
    <col min="14850" max="14850" width="8" style="616" customWidth="1"/>
    <col min="14851" max="14851" width="5.28515625" style="616" customWidth="1"/>
    <col min="14852" max="14852" width="60.42578125" style="616" customWidth="1"/>
    <col min="14853" max="14854" width="0" style="616" hidden="1" customWidth="1"/>
    <col min="14855" max="14855" width="11.85546875" style="616" customWidth="1"/>
    <col min="14856" max="14856" width="12" style="616" customWidth="1"/>
    <col min="14857" max="14857" width="0" style="616" hidden="1" customWidth="1"/>
    <col min="14858" max="14858" width="9.28515625" style="616" customWidth="1"/>
    <col min="14859" max="15104" width="8.85546875" style="616"/>
    <col min="15105" max="15105" width="7" style="616" customWidth="1"/>
    <col min="15106" max="15106" width="8" style="616" customWidth="1"/>
    <col min="15107" max="15107" width="5.28515625" style="616" customWidth="1"/>
    <col min="15108" max="15108" width="60.42578125" style="616" customWidth="1"/>
    <col min="15109" max="15110" width="0" style="616" hidden="1" customWidth="1"/>
    <col min="15111" max="15111" width="11.85546875" style="616" customWidth="1"/>
    <col min="15112" max="15112" width="12" style="616" customWidth="1"/>
    <col min="15113" max="15113" width="0" style="616" hidden="1" customWidth="1"/>
    <col min="15114" max="15114" width="9.28515625" style="616" customWidth="1"/>
    <col min="15115" max="15360" width="8.85546875" style="616"/>
    <col min="15361" max="15361" width="7" style="616" customWidth="1"/>
    <col min="15362" max="15362" width="8" style="616" customWidth="1"/>
    <col min="15363" max="15363" width="5.28515625" style="616" customWidth="1"/>
    <col min="15364" max="15364" width="60.42578125" style="616" customWidth="1"/>
    <col min="15365" max="15366" width="0" style="616" hidden="1" customWidth="1"/>
    <col min="15367" max="15367" width="11.85546875" style="616" customWidth="1"/>
    <col min="15368" max="15368" width="12" style="616" customWidth="1"/>
    <col min="15369" max="15369" width="0" style="616" hidden="1" customWidth="1"/>
    <col min="15370" max="15370" width="9.28515625" style="616" customWidth="1"/>
    <col min="15371" max="15616" width="8.85546875" style="616"/>
    <col min="15617" max="15617" width="7" style="616" customWidth="1"/>
    <col min="15618" max="15618" width="8" style="616" customWidth="1"/>
    <col min="15619" max="15619" width="5.28515625" style="616" customWidth="1"/>
    <col min="15620" max="15620" width="60.42578125" style="616" customWidth="1"/>
    <col min="15621" max="15622" width="0" style="616" hidden="1" customWidth="1"/>
    <col min="15623" max="15623" width="11.85546875" style="616" customWidth="1"/>
    <col min="15624" max="15624" width="12" style="616" customWidth="1"/>
    <col min="15625" max="15625" width="0" style="616" hidden="1" customWidth="1"/>
    <col min="15626" max="15626" width="9.28515625" style="616" customWidth="1"/>
    <col min="15627" max="15872" width="8.85546875" style="616"/>
    <col min="15873" max="15873" width="7" style="616" customWidth="1"/>
    <col min="15874" max="15874" width="8" style="616" customWidth="1"/>
    <col min="15875" max="15875" width="5.28515625" style="616" customWidth="1"/>
    <col min="15876" max="15876" width="60.42578125" style="616" customWidth="1"/>
    <col min="15877" max="15878" width="0" style="616" hidden="1" customWidth="1"/>
    <col min="15879" max="15879" width="11.85546875" style="616" customWidth="1"/>
    <col min="15880" max="15880" width="12" style="616" customWidth="1"/>
    <col min="15881" max="15881" width="0" style="616" hidden="1" customWidth="1"/>
    <col min="15882" max="15882" width="9.28515625" style="616" customWidth="1"/>
    <col min="15883" max="16128" width="8.85546875" style="616"/>
    <col min="16129" max="16129" width="7" style="616" customWidth="1"/>
    <col min="16130" max="16130" width="8" style="616" customWidth="1"/>
    <col min="16131" max="16131" width="5.28515625" style="616" customWidth="1"/>
    <col min="16132" max="16132" width="60.42578125" style="616" customWidth="1"/>
    <col min="16133" max="16134" width="0" style="616" hidden="1" customWidth="1"/>
    <col min="16135" max="16135" width="11.85546875" style="616" customWidth="1"/>
    <col min="16136" max="16136" width="12" style="616" customWidth="1"/>
    <col min="16137" max="16137" width="0" style="616" hidden="1" customWidth="1"/>
    <col min="16138" max="16138" width="9.28515625" style="616" customWidth="1"/>
    <col min="16139" max="16384" width="8.85546875" style="616"/>
  </cols>
  <sheetData>
    <row r="1" spans="1:256" x14ac:dyDescent="0.25">
      <c r="A1" s="932"/>
      <c r="B1" s="932"/>
      <c r="C1" s="932"/>
      <c r="D1" s="932"/>
      <c r="E1" s="932"/>
      <c r="F1" s="932"/>
      <c r="G1" s="932"/>
      <c r="H1" s="932"/>
      <c r="I1" s="932"/>
      <c r="J1" s="932"/>
    </row>
    <row r="2" spans="1:256" x14ac:dyDescent="0.25">
      <c r="A2" s="940" t="s">
        <v>0</v>
      </c>
      <c r="B2" s="940"/>
      <c r="C2" s="940"/>
      <c r="D2" s="940"/>
      <c r="E2" s="940"/>
      <c r="F2" s="940"/>
      <c r="G2" s="940"/>
      <c r="H2" s="940"/>
      <c r="I2" s="940"/>
      <c r="J2" s="940"/>
    </row>
    <row r="3" spans="1:256" x14ac:dyDescent="0.25">
      <c r="A3" s="617"/>
      <c r="B3" s="617"/>
      <c r="C3" s="617"/>
      <c r="D3" s="617"/>
      <c r="E3" s="617"/>
      <c r="F3" s="617"/>
      <c r="G3" s="617"/>
      <c r="H3" s="618"/>
      <c r="I3" s="618"/>
    </row>
    <row r="4" spans="1:256" x14ac:dyDescent="0.25">
      <c r="A4" s="940" t="s">
        <v>552</v>
      </c>
      <c r="B4" s="940"/>
      <c r="C4" s="940"/>
      <c r="D4" s="940"/>
      <c r="E4" s="940"/>
      <c r="F4" s="940"/>
      <c r="G4" s="940"/>
      <c r="H4" s="940"/>
      <c r="I4" s="940"/>
      <c r="J4" s="940"/>
    </row>
    <row r="5" spans="1:256" x14ac:dyDescent="0.25">
      <c r="A5" s="617"/>
      <c r="B5" s="619"/>
      <c r="C5" s="619"/>
      <c r="D5" s="619"/>
      <c r="E5" s="619"/>
      <c r="F5" s="619"/>
      <c r="G5" s="619"/>
      <c r="H5" s="619"/>
      <c r="I5" s="619"/>
    </row>
    <row r="6" spans="1:256" x14ac:dyDescent="0.25">
      <c r="A6" s="617"/>
      <c r="B6" s="619"/>
      <c r="C6" s="619"/>
      <c r="D6" s="619"/>
      <c r="E6" s="619"/>
      <c r="F6" s="619"/>
      <c r="G6" s="620"/>
      <c r="H6" s="619"/>
      <c r="I6" s="619"/>
    </row>
    <row r="7" spans="1:256" s="624" customFormat="1" ht="63" x14ac:dyDescent="0.25">
      <c r="A7" s="621" t="s">
        <v>3</v>
      </c>
      <c r="B7" s="621" t="s">
        <v>553</v>
      </c>
      <c r="C7" s="621" t="s">
        <v>5</v>
      </c>
      <c r="D7" s="621" t="s">
        <v>6</v>
      </c>
      <c r="E7" s="11" t="s">
        <v>554</v>
      </c>
      <c r="F7" s="11" t="s">
        <v>555</v>
      </c>
      <c r="G7" s="11" t="s">
        <v>609</v>
      </c>
      <c r="H7" s="11" t="s">
        <v>616</v>
      </c>
      <c r="I7" s="622" t="s">
        <v>547</v>
      </c>
      <c r="J7" s="623" t="s">
        <v>547</v>
      </c>
    </row>
    <row r="8" spans="1:256" s="628" customFormat="1" ht="12" x14ac:dyDescent="0.2">
      <c r="A8" s="941">
        <v>1</v>
      </c>
      <c r="B8" s="941"/>
      <c r="C8" s="941"/>
      <c r="D8" s="941"/>
      <c r="E8" s="625">
        <v>2</v>
      </c>
      <c r="F8" s="625">
        <v>3</v>
      </c>
      <c r="G8" s="625">
        <v>4</v>
      </c>
      <c r="H8" s="625">
        <v>5</v>
      </c>
      <c r="I8" s="626" t="s">
        <v>556</v>
      </c>
      <c r="J8" s="627" t="s">
        <v>551</v>
      </c>
    </row>
    <row r="9" spans="1:256" x14ac:dyDescent="0.25">
      <c r="A9" s="629">
        <v>8</v>
      </c>
      <c r="B9" s="630"/>
      <c r="C9" s="630"/>
      <c r="D9" s="630" t="s">
        <v>557</v>
      </c>
      <c r="E9" s="631">
        <f>SUM(E10)</f>
        <v>0</v>
      </c>
      <c r="F9" s="631">
        <f>SUM(F10)</f>
        <v>0</v>
      </c>
      <c r="G9" s="631">
        <f>SUM(G10)</f>
        <v>0</v>
      </c>
      <c r="H9" s="632">
        <f>SUM(H10)</f>
        <v>0</v>
      </c>
      <c r="I9" s="633">
        <v>0</v>
      </c>
      <c r="J9" s="633">
        <v>0</v>
      </c>
    </row>
    <row r="10" spans="1:256" s="644" customFormat="1" x14ac:dyDescent="0.25">
      <c r="A10" s="634"/>
      <c r="B10" s="635">
        <v>84</v>
      </c>
      <c r="C10" s="636"/>
      <c r="D10" s="637" t="s">
        <v>558</v>
      </c>
      <c r="E10" s="638">
        <f>SUM(E11)</f>
        <v>0</v>
      </c>
      <c r="F10" s="638">
        <v>0</v>
      </c>
      <c r="G10" s="638">
        <f>SUM(G11)</f>
        <v>0</v>
      </c>
      <c r="H10" s="639">
        <f>SUM(H11)</f>
        <v>0</v>
      </c>
      <c r="I10" s="633">
        <v>0</v>
      </c>
      <c r="J10" s="633">
        <v>0</v>
      </c>
      <c r="K10" s="640"/>
      <c r="L10" s="641"/>
      <c r="M10" s="642"/>
      <c r="N10" s="643"/>
      <c r="O10" s="643"/>
      <c r="P10" s="643"/>
      <c r="Q10" s="643"/>
      <c r="R10" s="643"/>
      <c r="S10" s="641"/>
      <c r="T10" s="640"/>
      <c r="U10" s="641"/>
      <c r="V10" s="642"/>
      <c r="W10" s="643"/>
      <c r="X10" s="643"/>
      <c r="Y10" s="643"/>
      <c r="Z10" s="643"/>
      <c r="AA10" s="643"/>
      <c r="AB10" s="641"/>
      <c r="AC10" s="640"/>
      <c r="AD10" s="641"/>
      <c r="AE10" s="642"/>
      <c r="AF10" s="643"/>
      <c r="AG10" s="643"/>
      <c r="AH10" s="643"/>
      <c r="AI10" s="643"/>
      <c r="AJ10" s="643"/>
      <c r="AK10" s="641"/>
      <c r="AL10" s="640"/>
      <c r="AM10" s="641"/>
      <c r="AN10" s="642"/>
      <c r="AO10" s="643"/>
      <c r="AP10" s="643"/>
      <c r="AQ10" s="643"/>
      <c r="AR10" s="643"/>
      <c r="AS10" s="643"/>
      <c r="AT10" s="641"/>
      <c r="AU10" s="640"/>
      <c r="AV10" s="641"/>
      <c r="AW10" s="642"/>
      <c r="AX10" s="643"/>
      <c r="AY10" s="643"/>
      <c r="AZ10" s="643"/>
      <c r="BA10" s="643"/>
      <c r="BB10" s="643"/>
      <c r="BC10" s="641"/>
      <c r="BD10" s="640"/>
      <c r="BE10" s="641"/>
      <c r="BF10" s="642"/>
      <c r="BG10" s="643"/>
      <c r="BH10" s="643"/>
      <c r="BI10" s="643"/>
      <c r="BJ10" s="643"/>
      <c r="BK10" s="643"/>
      <c r="BL10" s="641"/>
      <c r="BM10" s="640"/>
      <c r="BN10" s="641"/>
      <c r="BO10" s="642"/>
      <c r="BP10" s="643"/>
      <c r="BQ10" s="643"/>
      <c r="BR10" s="643"/>
      <c r="BS10" s="643"/>
      <c r="BT10" s="643"/>
      <c r="BU10" s="641"/>
      <c r="BV10" s="640"/>
      <c r="BW10" s="641"/>
      <c r="BX10" s="642"/>
      <c r="BY10" s="643"/>
      <c r="BZ10" s="643"/>
      <c r="CA10" s="643"/>
      <c r="CB10" s="643"/>
      <c r="CC10" s="643"/>
      <c r="CD10" s="641"/>
      <c r="CE10" s="640"/>
      <c r="CF10" s="641"/>
      <c r="CG10" s="642"/>
      <c r="CH10" s="643"/>
      <c r="CI10" s="643"/>
      <c r="CJ10" s="643"/>
      <c r="CK10" s="643"/>
      <c r="CL10" s="643"/>
      <c r="CM10" s="641"/>
      <c r="CN10" s="640"/>
      <c r="CO10" s="641"/>
      <c r="CP10" s="642"/>
      <c r="CQ10" s="643"/>
      <c r="CR10" s="643"/>
      <c r="CS10" s="643"/>
      <c r="CT10" s="643"/>
      <c r="CU10" s="643"/>
      <c r="CV10" s="641"/>
      <c r="CW10" s="640"/>
      <c r="CX10" s="641"/>
      <c r="CY10" s="642"/>
      <c r="CZ10" s="643"/>
      <c r="DA10" s="643"/>
      <c r="DB10" s="643"/>
      <c r="DC10" s="643"/>
      <c r="DD10" s="643"/>
      <c r="DE10" s="641"/>
      <c r="DF10" s="640"/>
      <c r="DG10" s="641"/>
      <c r="DH10" s="642"/>
      <c r="DI10" s="643"/>
      <c r="DJ10" s="643"/>
      <c r="DK10" s="643"/>
      <c r="DL10" s="643"/>
      <c r="DM10" s="643"/>
      <c r="DN10" s="641"/>
      <c r="DO10" s="640"/>
      <c r="DP10" s="641"/>
      <c r="DQ10" s="642"/>
      <c r="DR10" s="643"/>
      <c r="DS10" s="643"/>
      <c r="DT10" s="643"/>
      <c r="DU10" s="643"/>
      <c r="DV10" s="643"/>
      <c r="DW10" s="641"/>
      <c r="DX10" s="640"/>
      <c r="DY10" s="641"/>
      <c r="DZ10" s="642"/>
      <c r="EA10" s="643"/>
      <c r="EB10" s="643"/>
      <c r="EC10" s="643"/>
      <c r="ED10" s="643"/>
      <c r="EE10" s="643"/>
      <c r="EF10" s="641"/>
      <c r="EG10" s="640"/>
      <c r="EH10" s="641"/>
      <c r="EI10" s="642"/>
      <c r="EJ10" s="643"/>
      <c r="EK10" s="643"/>
      <c r="EL10" s="643"/>
      <c r="EM10" s="643"/>
      <c r="EN10" s="643"/>
      <c r="EO10" s="641"/>
      <c r="EP10" s="640"/>
      <c r="EQ10" s="641"/>
      <c r="ER10" s="642"/>
      <c r="ES10" s="643"/>
      <c r="ET10" s="643"/>
      <c r="EU10" s="643"/>
      <c r="EV10" s="643"/>
      <c r="EW10" s="643"/>
      <c r="EX10" s="641"/>
      <c r="EY10" s="640"/>
      <c r="EZ10" s="641"/>
      <c r="FA10" s="642"/>
      <c r="FB10" s="643"/>
      <c r="FC10" s="643"/>
      <c r="FD10" s="643"/>
      <c r="FE10" s="643"/>
      <c r="FF10" s="643"/>
      <c r="FG10" s="641"/>
      <c r="FH10" s="640"/>
      <c r="FI10" s="641"/>
      <c r="FJ10" s="642"/>
      <c r="FK10" s="643"/>
      <c r="FL10" s="643"/>
      <c r="FM10" s="643"/>
      <c r="FN10" s="643"/>
      <c r="FO10" s="643"/>
      <c r="FP10" s="641"/>
      <c r="FQ10" s="640"/>
      <c r="FR10" s="641"/>
      <c r="FS10" s="642"/>
      <c r="FT10" s="643"/>
      <c r="FU10" s="643"/>
      <c r="FV10" s="643"/>
      <c r="FW10" s="643"/>
      <c r="FX10" s="643"/>
      <c r="FY10" s="641"/>
      <c r="FZ10" s="640"/>
      <c r="GA10" s="641"/>
      <c r="GB10" s="642"/>
      <c r="GC10" s="643"/>
      <c r="GD10" s="643"/>
      <c r="GE10" s="643"/>
      <c r="GF10" s="643"/>
      <c r="GG10" s="643"/>
      <c r="GH10" s="641"/>
      <c r="GI10" s="640"/>
      <c r="GJ10" s="641"/>
      <c r="GK10" s="642"/>
      <c r="GL10" s="643"/>
      <c r="GM10" s="643"/>
      <c r="GN10" s="643"/>
      <c r="GO10" s="643"/>
      <c r="GP10" s="643"/>
      <c r="GQ10" s="641"/>
      <c r="GR10" s="640"/>
      <c r="GS10" s="641"/>
      <c r="GT10" s="642"/>
      <c r="GU10" s="643"/>
      <c r="GV10" s="643"/>
      <c r="GW10" s="643"/>
      <c r="GX10" s="643"/>
      <c r="GY10" s="643"/>
      <c r="GZ10" s="641"/>
      <c r="HA10" s="640"/>
      <c r="HB10" s="641"/>
      <c r="HC10" s="642"/>
      <c r="HD10" s="643"/>
      <c r="HE10" s="643"/>
      <c r="HF10" s="643"/>
      <c r="HG10" s="643"/>
      <c r="HH10" s="643"/>
      <c r="HI10" s="641"/>
      <c r="HJ10" s="640"/>
      <c r="HK10" s="641"/>
      <c r="HL10" s="642"/>
      <c r="HM10" s="643"/>
      <c r="HN10" s="643"/>
      <c r="HO10" s="643"/>
      <c r="HP10" s="643"/>
      <c r="HQ10" s="643"/>
      <c r="HR10" s="641"/>
      <c r="HS10" s="640"/>
      <c r="HT10" s="641"/>
      <c r="HU10" s="642"/>
      <c r="HV10" s="643"/>
      <c r="HW10" s="643"/>
      <c r="HX10" s="643"/>
      <c r="HY10" s="643"/>
      <c r="HZ10" s="643"/>
      <c r="IA10" s="641"/>
      <c r="IB10" s="640"/>
      <c r="IC10" s="641"/>
      <c r="ID10" s="642"/>
      <c r="IE10" s="643"/>
      <c r="IF10" s="643"/>
      <c r="IG10" s="643"/>
      <c r="IH10" s="643"/>
      <c r="II10" s="643"/>
      <c r="IJ10" s="641"/>
      <c r="IK10" s="640"/>
      <c r="IL10" s="641"/>
      <c r="IM10" s="642"/>
      <c r="IN10" s="643"/>
      <c r="IO10" s="643"/>
      <c r="IP10" s="643"/>
      <c r="IQ10" s="643"/>
      <c r="IR10" s="643"/>
      <c r="IS10" s="641"/>
      <c r="IT10" s="640"/>
      <c r="IU10" s="641"/>
      <c r="IV10" s="642"/>
    </row>
    <row r="11" spans="1:256" s="644" customFormat="1" ht="31.5" x14ac:dyDescent="0.25">
      <c r="A11" s="634"/>
      <c r="B11" s="645" t="s">
        <v>559</v>
      </c>
      <c r="C11" s="646"/>
      <c r="D11" s="647" t="s">
        <v>560</v>
      </c>
      <c r="E11" s="648">
        <v>0</v>
      </c>
      <c r="F11" s="648">
        <v>0</v>
      </c>
      <c r="G11" s="648">
        <f>SUM(G12)</f>
        <v>0</v>
      </c>
      <c r="H11" s="649">
        <f>SUM(H12)</f>
        <v>0</v>
      </c>
      <c r="I11" s="633">
        <v>0</v>
      </c>
      <c r="J11" s="633">
        <v>0</v>
      </c>
      <c r="K11" s="640"/>
      <c r="L11" s="641"/>
      <c r="M11" s="642"/>
      <c r="N11" s="643"/>
      <c r="O11" s="643"/>
      <c r="P11" s="643"/>
      <c r="Q11" s="643"/>
      <c r="R11" s="643"/>
      <c r="S11" s="641"/>
      <c r="T11" s="640"/>
      <c r="U11" s="641"/>
      <c r="V11" s="642"/>
      <c r="W11" s="643"/>
      <c r="X11" s="643"/>
      <c r="Y11" s="643"/>
      <c r="Z11" s="643"/>
      <c r="AA11" s="643"/>
      <c r="AB11" s="641"/>
      <c r="AC11" s="640"/>
      <c r="AD11" s="641"/>
      <c r="AE11" s="642"/>
      <c r="AF11" s="643"/>
      <c r="AG11" s="643"/>
      <c r="AH11" s="643"/>
      <c r="AI11" s="643"/>
      <c r="AJ11" s="643"/>
      <c r="AK11" s="641"/>
      <c r="AL11" s="640"/>
      <c r="AM11" s="641"/>
      <c r="AN11" s="642"/>
      <c r="AO11" s="643"/>
      <c r="AP11" s="643"/>
      <c r="AQ11" s="643"/>
      <c r="AR11" s="643"/>
      <c r="AS11" s="643"/>
      <c r="AT11" s="641"/>
      <c r="AU11" s="640"/>
      <c r="AV11" s="641"/>
      <c r="AW11" s="642"/>
      <c r="AX11" s="643"/>
      <c r="AY11" s="643"/>
      <c r="AZ11" s="643"/>
      <c r="BA11" s="643"/>
      <c r="BB11" s="643"/>
      <c r="BC11" s="641"/>
      <c r="BD11" s="640"/>
      <c r="BE11" s="641"/>
      <c r="BF11" s="642"/>
      <c r="BG11" s="643"/>
      <c r="BH11" s="643"/>
      <c r="BI11" s="643"/>
      <c r="BJ11" s="643"/>
      <c r="BK11" s="643"/>
      <c r="BL11" s="641"/>
      <c r="BM11" s="640"/>
      <c r="BN11" s="641"/>
      <c r="BO11" s="642"/>
      <c r="BP11" s="643"/>
      <c r="BQ11" s="643"/>
      <c r="BR11" s="643"/>
      <c r="BS11" s="643"/>
      <c r="BT11" s="643"/>
      <c r="BU11" s="641"/>
      <c r="BV11" s="640"/>
      <c r="BW11" s="641"/>
      <c r="BX11" s="642"/>
      <c r="BY11" s="643"/>
      <c r="BZ11" s="643"/>
      <c r="CA11" s="643"/>
      <c r="CB11" s="643"/>
      <c r="CC11" s="643"/>
      <c r="CD11" s="641"/>
      <c r="CE11" s="640"/>
      <c r="CF11" s="641"/>
      <c r="CG11" s="642"/>
      <c r="CH11" s="643"/>
      <c r="CI11" s="643"/>
      <c r="CJ11" s="643"/>
      <c r="CK11" s="643"/>
      <c r="CL11" s="643"/>
      <c r="CM11" s="641"/>
      <c r="CN11" s="640"/>
      <c r="CO11" s="641"/>
      <c r="CP11" s="642"/>
      <c r="CQ11" s="643"/>
      <c r="CR11" s="643"/>
      <c r="CS11" s="643"/>
      <c r="CT11" s="643"/>
      <c r="CU11" s="643"/>
      <c r="CV11" s="641"/>
      <c r="CW11" s="640"/>
      <c r="CX11" s="641"/>
      <c r="CY11" s="642"/>
      <c r="CZ11" s="643"/>
      <c r="DA11" s="643"/>
      <c r="DB11" s="643"/>
      <c r="DC11" s="643"/>
      <c r="DD11" s="643"/>
      <c r="DE11" s="641"/>
      <c r="DF11" s="640"/>
      <c r="DG11" s="641"/>
      <c r="DH11" s="642"/>
      <c r="DI11" s="643"/>
      <c r="DJ11" s="643"/>
      <c r="DK11" s="643"/>
      <c r="DL11" s="643"/>
      <c r="DM11" s="643"/>
      <c r="DN11" s="641"/>
      <c r="DO11" s="640"/>
      <c r="DP11" s="641"/>
      <c r="DQ11" s="642"/>
      <c r="DR11" s="643"/>
      <c r="DS11" s="643"/>
      <c r="DT11" s="643"/>
      <c r="DU11" s="643"/>
      <c r="DV11" s="643"/>
      <c r="DW11" s="641"/>
      <c r="DX11" s="640"/>
      <c r="DY11" s="641"/>
      <c r="DZ11" s="642"/>
      <c r="EA11" s="643"/>
      <c r="EB11" s="643"/>
      <c r="EC11" s="643"/>
      <c r="ED11" s="643"/>
      <c r="EE11" s="643"/>
      <c r="EF11" s="641"/>
      <c r="EG11" s="640"/>
      <c r="EH11" s="641"/>
      <c r="EI11" s="642"/>
      <c r="EJ11" s="643"/>
      <c r="EK11" s="643"/>
      <c r="EL11" s="643"/>
      <c r="EM11" s="643"/>
      <c r="EN11" s="643"/>
      <c r="EO11" s="641"/>
      <c r="EP11" s="640"/>
      <c r="EQ11" s="641"/>
      <c r="ER11" s="642"/>
      <c r="ES11" s="643"/>
      <c r="ET11" s="643"/>
      <c r="EU11" s="643"/>
      <c r="EV11" s="643"/>
      <c r="EW11" s="643"/>
      <c r="EX11" s="641"/>
      <c r="EY11" s="640"/>
      <c r="EZ11" s="641"/>
      <c r="FA11" s="642"/>
      <c r="FB11" s="643"/>
      <c r="FC11" s="643"/>
      <c r="FD11" s="643"/>
      <c r="FE11" s="643"/>
      <c r="FF11" s="643"/>
      <c r="FG11" s="641"/>
      <c r="FH11" s="640"/>
      <c r="FI11" s="641"/>
      <c r="FJ11" s="642"/>
      <c r="FK11" s="643"/>
      <c r="FL11" s="643"/>
      <c r="FM11" s="643"/>
      <c r="FN11" s="643"/>
      <c r="FO11" s="643"/>
      <c r="FP11" s="641"/>
      <c r="FQ11" s="640"/>
      <c r="FR11" s="641"/>
      <c r="FS11" s="642"/>
      <c r="FT11" s="643"/>
      <c r="FU11" s="643"/>
      <c r="FV11" s="643"/>
      <c r="FW11" s="643"/>
      <c r="FX11" s="643"/>
      <c r="FY11" s="641"/>
      <c r="FZ11" s="640"/>
      <c r="GA11" s="641"/>
      <c r="GB11" s="642"/>
      <c r="GC11" s="643"/>
      <c r="GD11" s="643"/>
      <c r="GE11" s="643"/>
      <c r="GF11" s="643"/>
      <c r="GG11" s="643"/>
      <c r="GH11" s="641"/>
      <c r="GI11" s="640"/>
      <c r="GJ11" s="641"/>
      <c r="GK11" s="642"/>
      <c r="GL11" s="643"/>
      <c r="GM11" s="643"/>
      <c r="GN11" s="643"/>
      <c r="GO11" s="643"/>
      <c r="GP11" s="643"/>
      <c r="GQ11" s="641"/>
      <c r="GR11" s="640"/>
      <c r="GS11" s="641"/>
      <c r="GT11" s="642"/>
      <c r="GU11" s="643"/>
      <c r="GV11" s="643"/>
      <c r="GW11" s="643"/>
      <c r="GX11" s="643"/>
      <c r="GY11" s="643"/>
      <c r="GZ11" s="641"/>
      <c r="HA11" s="640"/>
      <c r="HB11" s="641"/>
      <c r="HC11" s="642"/>
      <c r="HD11" s="643"/>
      <c r="HE11" s="643"/>
      <c r="HF11" s="643"/>
      <c r="HG11" s="643"/>
      <c r="HH11" s="643"/>
      <c r="HI11" s="641"/>
      <c r="HJ11" s="640"/>
      <c r="HK11" s="641"/>
      <c r="HL11" s="642"/>
      <c r="HM11" s="643"/>
      <c r="HN11" s="643"/>
      <c r="HO11" s="643"/>
      <c r="HP11" s="643"/>
      <c r="HQ11" s="643"/>
      <c r="HR11" s="641"/>
      <c r="HS11" s="640"/>
      <c r="HT11" s="641"/>
      <c r="HU11" s="642"/>
      <c r="HV11" s="643"/>
      <c r="HW11" s="643"/>
      <c r="HX11" s="643"/>
      <c r="HY11" s="643"/>
      <c r="HZ11" s="643"/>
      <c r="IA11" s="641"/>
      <c r="IB11" s="640"/>
      <c r="IC11" s="641"/>
      <c r="ID11" s="642"/>
      <c r="IE11" s="643"/>
      <c r="IF11" s="643"/>
      <c r="IG11" s="643"/>
      <c r="IH11" s="643"/>
      <c r="II11" s="643"/>
      <c r="IJ11" s="641"/>
      <c r="IK11" s="640"/>
      <c r="IL11" s="641"/>
      <c r="IM11" s="642"/>
      <c r="IN11" s="643"/>
      <c r="IO11" s="643"/>
      <c r="IP11" s="643"/>
      <c r="IQ11" s="643"/>
      <c r="IR11" s="643"/>
      <c r="IS11" s="641"/>
      <c r="IT11" s="640"/>
      <c r="IU11" s="641"/>
      <c r="IV11" s="642"/>
    </row>
    <row r="12" spans="1:256" s="644" customFormat="1" x14ac:dyDescent="0.25">
      <c r="A12" s="650"/>
      <c r="B12" s="651">
        <v>8422</v>
      </c>
      <c r="C12" s="652"/>
      <c r="D12" s="653" t="s">
        <v>561</v>
      </c>
      <c r="E12" s="654">
        <v>0</v>
      </c>
      <c r="F12" s="654">
        <v>0</v>
      </c>
      <c r="G12" s="655">
        <v>0</v>
      </c>
      <c r="H12" s="656">
        <v>0</v>
      </c>
      <c r="I12" s="657">
        <v>0</v>
      </c>
      <c r="J12" s="657">
        <v>0</v>
      </c>
      <c r="K12" s="640"/>
      <c r="L12" s="641"/>
      <c r="M12" s="642"/>
      <c r="N12" s="643"/>
      <c r="O12" s="643"/>
      <c r="P12" s="643"/>
      <c r="Q12" s="643"/>
      <c r="R12" s="643"/>
      <c r="S12" s="641"/>
      <c r="T12" s="640"/>
      <c r="U12" s="641"/>
      <c r="V12" s="642"/>
      <c r="W12" s="643"/>
      <c r="X12" s="643"/>
      <c r="Y12" s="643"/>
      <c r="Z12" s="643"/>
      <c r="AA12" s="643"/>
      <c r="AB12" s="641"/>
      <c r="AC12" s="640"/>
      <c r="AD12" s="641"/>
      <c r="AE12" s="642"/>
      <c r="AF12" s="643"/>
      <c r="AG12" s="643"/>
      <c r="AH12" s="643"/>
      <c r="AI12" s="643"/>
      <c r="AJ12" s="643"/>
      <c r="AK12" s="641"/>
      <c r="AL12" s="640"/>
      <c r="AM12" s="641"/>
      <c r="AN12" s="642"/>
      <c r="AO12" s="643"/>
      <c r="AP12" s="643"/>
      <c r="AQ12" s="643"/>
      <c r="AR12" s="643"/>
      <c r="AS12" s="643"/>
      <c r="AT12" s="641"/>
      <c r="AU12" s="640"/>
      <c r="AV12" s="641"/>
      <c r="AW12" s="642"/>
      <c r="AX12" s="643"/>
      <c r="AY12" s="643"/>
      <c r="AZ12" s="643"/>
      <c r="BA12" s="643"/>
      <c r="BB12" s="643"/>
      <c r="BC12" s="641"/>
      <c r="BD12" s="640"/>
      <c r="BE12" s="641"/>
      <c r="BF12" s="642"/>
      <c r="BG12" s="643"/>
      <c r="BH12" s="643"/>
      <c r="BI12" s="643"/>
      <c r="BJ12" s="643"/>
      <c r="BK12" s="643"/>
      <c r="BL12" s="641"/>
      <c r="BM12" s="640"/>
      <c r="BN12" s="641"/>
      <c r="BO12" s="642"/>
      <c r="BP12" s="643"/>
      <c r="BQ12" s="643"/>
      <c r="BR12" s="643"/>
      <c r="BS12" s="643"/>
      <c r="BT12" s="643"/>
      <c r="BU12" s="641"/>
      <c r="BV12" s="640"/>
      <c r="BW12" s="641"/>
      <c r="BX12" s="642"/>
      <c r="BY12" s="643"/>
      <c r="BZ12" s="643"/>
      <c r="CA12" s="643"/>
      <c r="CB12" s="643"/>
      <c r="CC12" s="643"/>
      <c r="CD12" s="641"/>
      <c r="CE12" s="640"/>
      <c r="CF12" s="641"/>
      <c r="CG12" s="642"/>
      <c r="CH12" s="643"/>
      <c r="CI12" s="643"/>
      <c r="CJ12" s="643"/>
      <c r="CK12" s="643"/>
      <c r="CL12" s="643"/>
      <c r="CM12" s="641"/>
      <c r="CN12" s="640"/>
      <c r="CO12" s="641"/>
      <c r="CP12" s="642"/>
      <c r="CQ12" s="643"/>
      <c r="CR12" s="643"/>
      <c r="CS12" s="643"/>
      <c r="CT12" s="643"/>
      <c r="CU12" s="643"/>
      <c r="CV12" s="641"/>
      <c r="CW12" s="640"/>
      <c r="CX12" s="641"/>
      <c r="CY12" s="642"/>
      <c r="CZ12" s="643"/>
      <c r="DA12" s="643"/>
      <c r="DB12" s="643"/>
      <c r="DC12" s="643"/>
      <c r="DD12" s="643"/>
      <c r="DE12" s="641"/>
      <c r="DF12" s="640"/>
      <c r="DG12" s="641"/>
      <c r="DH12" s="642"/>
      <c r="DI12" s="643"/>
      <c r="DJ12" s="643"/>
      <c r="DK12" s="643"/>
      <c r="DL12" s="643"/>
      <c r="DM12" s="643"/>
      <c r="DN12" s="641"/>
      <c r="DO12" s="640"/>
      <c r="DP12" s="641"/>
      <c r="DQ12" s="642"/>
      <c r="DR12" s="643"/>
      <c r="DS12" s="643"/>
      <c r="DT12" s="643"/>
      <c r="DU12" s="643"/>
      <c r="DV12" s="643"/>
      <c r="DW12" s="641"/>
      <c r="DX12" s="640"/>
      <c r="DY12" s="641"/>
      <c r="DZ12" s="642"/>
      <c r="EA12" s="643"/>
      <c r="EB12" s="643"/>
      <c r="EC12" s="643"/>
      <c r="ED12" s="643"/>
      <c r="EE12" s="643"/>
      <c r="EF12" s="641"/>
      <c r="EG12" s="640"/>
      <c r="EH12" s="641"/>
      <c r="EI12" s="642"/>
      <c r="EJ12" s="643"/>
      <c r="EK12" s="643"/>
      <c r="EL12" s="643"/>
      <c r="EM12" s="643"/>
      <c r="EN12" s="643"/>
      <c r="EO12" s="641"/>
      <c r="EP12" s="640"/>
      <c r="EQ12" s="641"/>
      <c r="ER12" s="642"/>
      <c r="ES12" s="643"/>
      <c r="ET12" s="643"/>
      <c r="EU12" s="643"/>
      <c r="EV12" s="643"/>
      <c r="EW12" s="643"/>
      <c r="EX12" s="641"/>
      <c r="EY12" s="640"/>
      <c r="EZ12" s="641"/>
      <c r="FA12" s="642"/>
      <c r="FB12" s="643"/>
      <c r="FC12" s="643"/>
      <c r="FD12" s="643"/>
      <c r="FE12" s="643"/>
      <c r="FF12" s="643"/>
      <c r="FG12" s="641"/>
      <c r="FH12" s="640"/>
      <c r="FI12" s="641"/>
      <c r="FJ12" s="642"/>
      <c r="FK12" s="643"/>
      <c r="FL12" s="643"/>
      <c r="FM12" s="643"/>
      <c r="FN12" s="643"/>
      <c r="FO12" s="643"/>
      <c r="FP12" s="641"/>
      <c r="FQ12" s="640"/>
      <c r="FR12" s="641"/>
      <c r="FS12" s="642"/>
      <c r="FT12" s="643"/>
      <c r="FU12" s="643"/>
      <c r="FV12" s="643"/>
      <c r="FW12" s="643"/>
      <c r="FX12" s="643"/>
      <c r="FY12" s="641"/>
      <c r="FZ12" s="640"/>
      <c r="GA12" s="641"/>
      <c r="GB12" s="642"/>
      <c r="GC12" s="643"/>
      <c r="GD12" s="643"/>
      <c r="GE12" s="643"/>
      <c r="GF12" s="643"/>
      <c r="GG12" s="643"/>
      <c r="GH12" s="641"/>
      <c r="GI12" s="640"/>
      <c r="GJ12" s="641"/>
      <c r="GK12" s="642"/>
      <c r="GL12" s="643"/>
      <c r="GM12" s="643"/>
      <c r="GN12" s="643"/>
      <c r="GO12" s="643"/>
      <c r="GP12" s="643"/>
      <c r="GQ12" s="641"/>
      <c r="GR12" s="640"/>
      <c r="GS12" s="641"/>
      <c r="GT12" s="642"/>
      <c r="GU12" s="643"/>
      <c r="GV12" s="643"/>
      <c r="GW12" s="643"/>
      <c r="GX12" s="643"/>
      <c r="GY12" s="643"/>
      <c r="GZ12" s="641"/>
      <c r="HA12" s="640"/>
      <c r="HB12" s="641"/>
      <c r="HC12" s="642"/>
      <c r="HD12" s="643"/>
      <c r="HE12" s="643"/>
      <c r="HF12" s="643"/>
      <c r="HG12" s="643"/>
      <c r="HH12" s="643"/>
      <c r="HI12" s="641"/>
      <c r="HJ12" s="640"/>
      <c r="HK12" s="641"/>
      <c r="HL12" s="642"/>
      <c r="HM12" s="643"/>
      <c r="HN12" s="643"/>
      <c r="HO12" s="643"/>
      <c r="HP12" s="643"/>
      <c r="HQ12" s="643"/>
      <c r="HR12" s="641"/>
      <c r="HS12" s="640"/>
      <c r="HT12" s="641"/>
      <c r="HU12" s="642"/>
      <c r="HV12" s="643"/>
      <c r="HW12" s="643"/>
      <c r="HX12" s="643"/>
      <c r="HY12" s="643"/>
      <c r="HZ12" s="643"/>
      <c r="IA12" s="641"/>
      <c r="IB12" s="640"/>
      <c r="IC12" s="641"/>
      <c r="ID12" s="642"/>
      <c r="IE12" s="643"/>
      <c r="IF12" s="643"/>
      <c r="IG12" s="643"/>
      <c r="IH12" s="643"/>
      <c r="II12" s="643"/>
      <c r="IJ12" s="641"/>
      <c r="IK12" s="640"/>
      <c r="IL12" s="641"/>
      <c r="IM12" s="642"/>
      <c r="IN12" s="643"/>
      <c r="IO12" s="643"/>
      <c r="IP12" s="643"/>
      <c r="IQ12" s="643"/>
      <c r="IR12" s="643"/>
      <c r="IS12" s="641"/>
      <c r="IT12" s="640"/>
      <c r="IU12" s="641"/>
      <c r="IV12" s="642"/>
    </row>
    <row r="13" spans="1:256" x14ac:dyDescent="0.25">
      <c r="A13" s="658"/>
      <c r="B13" s="659"/>
      <c r="C13" s="660">
        <v>81</v>
      </c>
      <c r="D13" s="661" t="s">
        <v>562</v>
      </c>
      <c r="E13" s="662">
        <f>SUM(E9)</f>
        <v>0</v>
      </c>
      <c r="F13" s="662">
        <f>SUM(F9)</f>
        <v>0</v>
      </c>
      <c r="G13" s="662">
        <f>SUM(G9)</f>
        <v>0</v>
      </c>
      <c r="H13" s="663">
        <f>SUM(H9)</f>
        <v>0</v>
      </c>
      <c r="I13" s="657">
        <v>0</v>
      </c>
      <c r="J13" s="657">
        <v>0</v>
      </c>
    </row>
    <row r="14" spans="1:256" x14ac:dyDescent="0.25">
      <c r="A14" s="634">
        <v>5</v>
      </c>
      <c r="B14" s="664"/>
      <c r="C14" s="665"/>
      <c r="D14" s="666" t="s">
        <v>563</v>
      </c>
      <c r="E14" s="667">
        <f>SUM(E15)</f>
        <v>0</v>
      </c>
      <c r="F14" s="667">
        <f t="shared" ref="F14:H16" si="0">SUM(F15)</f>
        <v>0</v>
      </c>
      <c r="G14" s="667">
        <f t="shared" si="0"/>
        <v>0</v>
      </c>
      <c r="H14" s="668">
        <f t="shared" si="0"/>
        <v>0</v>
      </c>
      <c r="I14" s="633">
        <v>0</v>
      </c>
      <c r="J14" s="633">
        <v>0</v>
      </c>
    </row>
    <row r="15" spans="1:256" s="670" customFormat="1" x14ac:dyDescent="0.25">
      <c r="A15" s="669"/>
      <c r="B15" s="669">
        <v>54</v>
      </c>
      <c r="C15" s="665"/>
      <c r="D15" s="666" t="s">
        <v>564</v>
      </c>
      <c r="E15" s="667">
        <f>SUM(E16)</f>
        <v>0</v>
      </c>
      <c r="F15" s="667">
        <v>0</v>
      </c>
      <c r="G15" s="667">
        <f t="shared" si="0"/>
        <v>0</v>
      </c>
      <c r="H15" s="668">
        <f t="shared" si="0"/>
        <v>0</v>
      </c>
      <c r="I15" s="633">
        <v>0</v>
      </c>
      <c r="J15" s="633">
        <v>0</v>
      </c>
    </row>
    <row r="16" spans="1:256" s="670" customFormat="1" ht="31.5" x14ac:dyDescent="0.25">
      <c r="A16" s="669"/>
      <c r="B16" s="669" t="s">
        <v>565</v>
      </c>
      <c r="C16" s="665"/>
      <c r="D16" s="671" t="s">
        <v>566</v>
      </c>
      <c r="E16" s="667">
        <f>SUM(E17)</f>
        <v>0</v>
      </c>
      <c r="F16" s="667">
        <f>SUM(F17)</f>
        <v>0</v>
      </c>
      <c r="G16" s="667">
        <f t="shared" si="0"/>
        <v>0</v>
      </c>
      <c r="H16" s="668">
        <f t="shared" si="0"/>
        <v>0</v>
      </c>
      <c r="I16" s="633">
        <v>0</v>
      </c>
      <c r="J16" s="633">
        <v>0</v>
      </c>
    </row>
    <row r="17" spans="1:10" ht="31.5" x14ac:dyDescent="0.25">
      <c r="A17" s="672"/>
      <c r="B17" s="672" t="s">
        <v>567</v>
      </c>
      <c r="C17" s="673"/>
      <c r="D17" s="674" t="s">
        <v>568</v>
      </c>
      <c r="E17" s="675">
        <v>0</v>
      </c>
      <c r="F17" s="675">
        <v>0</v>
      </c>
      <c r="G17" s="676">
        <v>0</v>
      </c>
      <c r="H17" s="677">
        <v>0</v>
      </c>
      <c r="I17" s="678">
        <v>0</v>
      </c>
      <c r="J17" s="678">
        <v>0</v>
      </c>
    </row>
    <row r="18" spans="1:10" s="679" customFormat="1" x14ac:dyDescent="0.25">
      <c r="A18" s="658"/>
      <c r="B18" s="659"/>
      <c r="C18" s="660">
        <v>11</v>
      </c>
      <c r="D18" s="661" t="s">
        <v>15</v>
      </c>
      <c r="E18" s="662">
        <f>SUM(E14)</f>
        <v>0</v>
      </c>
      <c r="F18" s="662">
        <f>SUM(F14)</f>
        <v>0</v>
      </c>
      <c r="G18" s="662">
        <f>SUM(G14)</f>
        <v>0</v>
      </c>
      <c r="H18" s="663">
        <f>SUM(H14)</f>
        <v>0</v>
      </c>
      <c r="I18" s="657">
        <v>0</v>
      </c>
      <c r="J18" s="657">
        <v>0</v>
      </c>
    </row>
  </sheetData>
  <mergeCells count="4">
    <mergeCell ref="A1:J1"/>
    <mergeCell ref="A2:J2"/>
    <mergeCell ref="A4:J4"/>
    <mergeCell ref="A8:D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SAŽETAK</vt:lpstr>
      <vt:lpstr>Prihodi po ekonomskoj klas</vt:lpstr>
      <vt:lpstr>RASHODI-ek.kl.</vt:lpstr>
      <vt:lpstr>Prihodi po ek klas i izvorima</vt:lpstr>
      <vt:lpstr> PRIHODI I RASHODI-izvori</vt:lpstr>
      <vt:lpstr>RASHODI-funkcijska</vt:lpstr>
      <vt:lpstr>Rekapitulacija Posebni dio</vt:lpstr>
      <vt:lpstr>Kontrolna tablica</vt:lpstr>
      <vt:lpstr>RAČUN FINANCIRANJA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fakture10</dc:creator>
  <cp:lastModifiedBy>Vanja Kovac</cp:lastModifiedBy>
  <cp:lastPrinted>2025-09-02T09:22:36Z</cp:lastPrinted>
  <dcterms:created xsi:type="dcterms:W3CDTF">2015-06-05T18:19:34Z</dcterms:created>
  <dcterms:modified xsi:type="dcterms:W3CDTF">2025-10-09T07:14:52Z</dcterms:modified>
</cp:coreProperties>
</file>